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25" windowHeight="12090"/>
  </bookViews>
  <sheets>
    <sheet name="总表" sheetId="4" r:id="rId1"/>
    <sheet name="支出调整计算" sheetId="1" r:id="rId2"/>
    <sheet name="专项调整" sheetId="2" r:id="rId3"/>
    <sheet name="收入调整 （对比)" sheetId="20" r:id="rId4"/>
    <sheet name="收入调整" sheetId="16" r:id="rId5"/>
    <sheet name="收入调整 (2)" sheetId="17" r:id="rId6"/>
    <sheet name="收入调整 (3)" sheetId="18" r:id="rId7"/>
    <sheet name="Sheet1" sheetId="19" r:id="rId8"/>
  </sheets>
  <definedNames>
    <definedName name="_xlnm._FilterDatabase" localSheetId="2" hidden="1">专项调整!$A$7:$K$75</definedName>
    <definedName name="_xlnm.Print_Area" localSheetId="4">收入调整!$A$1:$G$43</definedName>
    <definedName name="_xlnm.Print_Area" localSheetId="5">'收入调整 (2)'!$A$1:$G$42</definedName>
    <definedName name="_xlnm.Print_Area" localSheetId="6">'收入调整 (3)'!$A$1:$G$42</definedName>
    <definedName name="_xlnm.Print_Area" localSheetId="1">支出调整计算!$A$1:$J$24</definedName>
    <definedName name="_xlnm.Print_Area" localSheetId="2">专项调整!$A$1:$K$74</definedName>
    <definedName name="_xlnm.Print_Area" localSheetId="0">总表!$A$1:$J$39</definedName>
    <definedName name="_xlnm.Print_Titles" localSheetId="4">收入调整!$1:$4</definedName>
    <definedName name="_xlnm.Print_Titles" localSheetId="5">'收入调整 (2)'!$1:$4</definedName>
    <definedName name="_xlnm.Print_Titles" localSheetId="6">'收入调整 (3)'!$1:$4</definedName>
    <definedName name="_xlnm.Print_Titles" localSheetId="2">专项调整!$3:$4</definedName>
    <definedName name="_xlnm.Print_Area" localSheetId="3">'收入调整 （对比)'!$A$1:$H$43</definedName>
    <definedName name="_xlnm.Print_Titles" localSheetId="3">'收入调整 （对比)'!$1:$4</definedName>
  </definedNames>
  <calcPr calcId="144525" concurrentCalc="0"/>
</workbook>
</file>

<file path=xl/comments1.xml><?xml version="1.0" encoding="utf-8"?>
<comments xmlns="http://schemas.openxmlformats.org/spreadsheetml/2006/main">
  <authors>
    <author>HP</author>
  </authors>
  <commentList>
    <comment ref="C74" authorId="0">
      <text>
        <r>
          <rPr>
            <b/>
            <sz val="9"/>
            <rFont val="Tahoma"/>
            <charset val="134"/>
          </rPr>
          <t>HP: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国土节日慰问</t>
        </r>
        <r>
          <rPr>
            <sz val="9"/>
            <rFont val="Tahoma"/>
            <charset val="134"/>
          </rPr>
          <t>1</t>
        </r>
      </text>
    </comment>
  </commentList>
</comments>
</file>

<file path=xl/sharedStrings.xml><?xml version="1.0" encoding="utf-8"?>
<sst xmlns="http://schemas.openxmlformats.org/spreadsheetml/2006/main" count="556" uniqueCount="313">
  <si>
    <t>永春县2022年度财政收支预算调整方案（草案）</t>
  </si>
  <si>
    <t>编制单位：永春县财政局</t>
  </si>
  <si>
    <t xml:space="preserve">       单位：万元</t>
  </si>
  <si>
    <t>一般公共预算部分</t>
  </si>
  <si>
    <t>年初    　　　预算数</t>
  </si>
  <si>
    <t>调整　　  预算数</t>
  </si>
  <si>
    <t>年初      预算数</t>
  </si>
  <si>
    <t>年初上级提前下达专项</t>
  </si>
  <si>
    <t>其他预算部分</t>
  </si>
  <si>
    <t>年初    　　　　预算数</t>
  </si>
  <si>
    <t>一、县本级可支配财力合计</t>
  </si>
  <si>
    <t>支出总计</t>
  </si>
  <si>
    <t>政 府 性 基 金 预  算</t>
  </si>
  <si>
    <t>（一）一般公共预算收入</t>
  </si>
  <si>
    <t>一、一般公共预算支出</t>
  </si>
  <si>
    <r>
      <rPr>
        <b/>
        <sz val="12"/>
        <color indexed="8"/>
        <rFont val="宋体"/>
        <charset val="134"/>
      </rPr>
      <t xml:space="preserve"> </t>
    </r>
    <r>
      <rPr>
        <b/>
        <sz val="12"/>
        <color indexed="8"/>
        <rFont val="宋体"/>
        <charset val="134"/>
      </rPr>
      <t>收</t>
    </r>
    <r>
      <rPr>
        <b/>
        <sz val="12"/>
        <color indexed="8"/>
        <rFont val="宋体"/>
        <charset val="134"/>
      </rPr>
      <t xml:space="preserve">  </t>
    </r>
    <r>
      <rPr>
        <b/>
        <sz val="12"/>
        <color indexed="8"/>
        <rFont val="宋体"/>
        <charset val="134"/>
      </rPr>
      <t>入</t>
    </r>
    <r>
      <rPr>
        <b/>
        <sz val="12"/>
        <color indexed="8"/>
        <rFont val="宋体"/>
        <charset val="134"/>
      </rPr>
      <t xml:space="preserve">  </t>
    </r>
    <r>
      <rPr>
        <b/>
        <sz val="12"/>
        <color indexed="8"/>
        <rFont val="宋体"/>
        <charset val="134"/>
      </rPr>
      <t>科 目</t>
    </r>
    <r>
      <rPr>
        <b/>
        <sz val="12"/>
        <color indexed="8"/>
        <rFont val="宋体"/>
        <charset val="134"/>
      </rPr>
      <t xml:space="preserve"> </t>
    </r>
  </si>
  <si>
    <t>年初预算数</t>
  </si>
  <si>
    <t>调整预算数</t>
  </si>
  <si>
    <t xml:space="preserve"> 1、税收合计</t>
  </si>
  <si>
    <t xml:space="preserve"> (一)一般公共服务支出</t>
  </si>
  <si>
    <t>政府性基金本年收入小计</t>
  </si>
  <si>
    <r>
      <rPr>
        <sz val="12"/>
        <rFont val="宋体"/>
        <charset val="134"/>
      </rPr>
      <t xml:space="preserve"> （</t>
    </r>
    <r>
      <rPr>
        <sz val="12"/>
        <rFont val="宋体"/>
        <charset val="134"/>
      </rPr>
      <t>1</t>
    </r>
    <r>
      <rPr>
        <sz val="12"/>
        <rFont val="宋体"/>
        <charset val="134"/>
      </rPr>
      <t>）增值税</t>
    </r>
  </si>
  <si>
    <t xml:space="preserve"> (二)国防支出</t>
  </si>
  <si>
    <t xml:space="preserve"> 1、国有土地使用权出让收入</t>
  </si>
  <si>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      国内</t>
    </r>
    <r>
      <rPr>
        <sz val="12"/>
        <rFont val="宋体"/>
        <charset val="134"/>
      </rPr>
      <t>增值税</t>
    </r>
  </si>
  <si>
    <t xml:space="preserve"> (三)公共安全支出</t>
  </si>
  <si>
    <t xml:space="preserve"> 2、城市基础设施配套费收入</t>
  </si>
  <si>
    <r>
      <rPr>
        <sz val="12"/>
        <rFont val="宋体"/>
        <charset val="134"/>
      </rPr>
      <t xml:space="preserve">         营</t>
    </r>
    <r>
      <rPr>
        <sz val="12"/>
        <rFont val="宋体"/>
        <charset val="134"/>
      </rPr>
      <t>改增增值税</t>
    </r>
  </si>
  <si>
    <t xml:space="preserve"> (四)教育支出</t>
  </si>
  <si>
    <t xml:space="preserve"> 3、污水处理费收入</t>
  </si>
  <si>
    <r>
      <rPr>
        <sz val="12"/>
        <rFont val="宋体"/>
        <charset val="134"/>
      </rPr>
      <t xml:space="preserve"> （</t>
    </r>
    <r>
      <rPr>
        <sz val="12"/>
        <rFont val="宋体"/>
        <charset val="134"/>
      </rPr>
      <t>2</t>
    </r>
    <r>
      <rPr>
        <sz val="12"/>
        <rFont val="宋体"/>
        <charset val="134"/>
      </rPr>
      <t>）营业税</t>
    </r>
  </si>
  <si>
    <t xml:space="preserve"> (五)科学技术支出</t>
  </si>
  <si>
    <t xml:space="preserve"> 4、福利彩票公益金收入</t>
  </si>
  <si>
    <r>
      <rPr>
        <sz val="12"/>
        <rFont val="宋体"/>
        <charset val="134"/>
      </rPr>
      <t xml:space="preserve"> （</t>
    </r>
    <r>
      <rPr>
        <sz val="12"/>
        <rFont val="宋体"/>
        <charset val="134"/>
      </rPr>
      <t>3</t>
    </r>
    <r>
      <rPr>
        <sz val="12"/>
        <rFont val="宋体"/>
        <charset val="134"/>
      </rPr>
      <t>）企业所得税（40%）</t>
    </r>
  </si>
  <si>
    <t xml:space="preserve"> (六)文化旅游体育与传媒支出</t>
  </si>
  <si>
    <t xml:space="preserve"> 5、体育彩票公益金收入</t>
  </si>
  <si>
    <r>
      <rPr>
        <sz val="12"/>
        <rFont val="宋体"/>
        <charset val="134"/>
      </rPr>
      <t xml:space="preserve"> （</t>
    </r>
    <r>
      <rPr>
        <sz val="12"/>
        <rFont val="宋体"/>
        <charset val="134"/>
      </rPr>
      <t>4</t>
    </r>
    <r>
      <rPr>
        <sz val="12"/>
        <rFont val="宋体"/>
        <charset val="134"/>
      </rPr>
      <t>）个人所得税（40%）</t>
    </r>
  </si>
  <si>
    <t xml:space="preserve"> (七)社会保障和就业支出</t>
  </si>
  <si>
    <t xml:space="preserve"> 6、其他政府性基金收入</t>
  </si>
  <si>
    <r>
      <rPr>
        <sz val="12"/>
        <rFont val="宋体"/>
        <charset val="134"/>
      </rPr>
      <t xml:space="preserve"> （</t>
    </r>
    <r>
      <rPr>
        <sz val="12"/>
        <rFont val="宋体"/>
        <charset val="134"/>
      </rPr>
      <t>5</t>
    </r>
    <r>
      <rPr>
        <sz val="12"/>
        <rFont val="宋体"/>
        <charset val="134"/>
      </rPr>
      <t>）其他工商税收</t>
    </r>
  </si>
  <si>
    <t xml:space="preserve"> (八)卫生健康支出</t>
  </si>
  <si>
    <t>政府性基金上年结余</t>
  </si>
  <si>
    <r>
      <rPr>
        <sz val="12"/>
        <rFont val="宋体"/>
        <charset val="134"/>
      </rPr>
      <t xml:space="preserve"> （</t>
    </r>
    <r>
      <rPr>
        <sz val="12"/>
        <rFont val="宋体"/>
        <charset val="134"/>
      </rPr>
      <t>6</t>
    </r>
    <r>
      <rPr>
        <sz val="12"/>
        <rFont val="宋体"/>
        <charset val="134"/>
      </rPr>
      <t>）契税和耕地占用税</t>
    </r>
  </si>
  <si>
    <t xml:space="preserve"> (九)节能环保支出</t>
  </si>
  <si>
    <t>新增地方政府专项债券收入</t>
  </si>
  <si>
    <t xml:space="preserve"> 2、非税收入</t>
  </si>
  <si>
    <t xml:space="preserve"> (十)城乡社区支出</t>
  </si>
  <si>
    <t>政府性基金收入合计</t>
  </si>
  <si>
    <r>
      <rPr>
        <sz val="12"/>
        <rFont val="宋体"/>
        <charset val="134"/>
      </rPr>
      <t xml:space="preserve"> （</t>
    </r>
    <r>
      <rPr>
        <sz val="12"/>
        <rFont val="宋体"/>
        <charset val="134"/>
      </rPr>
      <t>1</t>
    </r>
    <r>
      <rPr>
        <sz val="12"/>
        <rFont val="宋体"/>
        <charset val="134"/>
      </rPr>
      <t>）专项收入</t>
    </r>
  </si>
  <si>
    <t xml:space="preserve"> (十一)农林水支出</t>
  </si>
  <si>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其中：</t>
    </r>
    <r>
      <rPr>
        <sz val="12"/>
        <rFont val="宋体"/>
        <charset val="134"/>
      </rPr>
      <t>教育费附加收入</t>
    </r>
  </si>
  <si>
    <t xml:space="preserve"> (十二)交通运输支出</t>
  </si>
  <si>
    <t>支 出 科 目</t>
  </si>
  <si>
    <r>
      <rPr>
        <sz val="12"/>
        <rFont val="宋体"/>
        <charset val="134"/>
      </rPr>
      <t xml:space="preserve"> （</t>
    </r>
    <r>
      <rPr>
        <sz val="12"/>
        <rFont val="宋体"/>
        <charset val="134"/>
      </rPr>
      <t>2</t>
    </r>
    <r>
      <rPr>
        <sz val="12"/>
        <rFont val="宋体"/>
        <charset val="134"/>
      </rPr>
      <t>）行政事业性收费收入</t>
    </r>
  </si>
  <si>
    <t xml:space="preserve"> (十三)资源勘探工业信息等支出</t>
  </si>
  <si>
    <t>政府性基金支出合计</t>
  </si>
  <si>
    <r>
      <rPr>
        <sz val="12"/>
        <rFont val="宋体"/>
        <charset val="134"/>
      </rPr>
      <t xml:space="preserve"> （</t>
    </r>
    <r>
      <rPr>
        <sz val="12"/>
        <rFont val="宋体"/>
        <charset val="134"/>
      </rPr>
      <t>3</t>
    </r>
    <r>
      <rPr>
        <sz val="12"/>
        <rFont val="宋体"/>
        <charset val="134"/>
      </rPr>
      <t>）罚没收入</t>
    </r>
  </si>
  <si>
    <t xml:space="preserve"> (十四)商业服务业等支出</t>
  </si>
  <si>
    <t xml:space="preserve"> 1、债务还本付息等支出</t>
  </si>
  <si>
    <r>
      <rPr>
        <sz val="12"/>
        <rFont val="宋体"/>
        <charset val="134"/>
      </rPr>
      <t xml:space="preserve"> （</t>
    </r>
    <r>
      <rPr>
        <sz val="12"/>
        <rFont val="宋体"/>
        <charset val="134"/>
      </rPr>
      <t>4</t>
    </r>
    <r>
      <rPr>
        <sz val="12"/>
        <rFont val="宋体"/>
        <charset val="134"/>
      </rPr>
      <t>）国有资本经营收入</t>
    </r>
  </si>
  <si>
    <t xml:space="preserve"> (十五)自然资源海洋气象等支出</t>
  </si>
  <si>
    <t xml:space="preserve"> 2、国有土地使用权出让支出</t>
  </si>
  <si>
    <t xml:space="preserve"> （5）国有资源有偿使用收入</t>
  </si>
  <si>
    <t xml:space="preserve"> (十六)住房保障支出</t>
  </si>
  <si>
    <t xml:space="preserve">     其中：调出资金</t>
  </si>
  <si>
    <r>
      <rPr>
        <sz val="12"/>
        <rFont val="宋体"/>
        <charset val="134"/>
      </rPr>
      <t xml:space="preserve"> （</t>
    </r>
    <r>
      <rPr>
        <sz val="12"/>
        <rFont val="宋体"/>
        <charset val="134"/>
      </rPr>
      <t>6</t>
    </r>
    <r>
      <rPr>
        <sz val="12"/>
        <rFont val="宋体"/>
        <charset val="134"/>
      </rPr>
      <t>）政府住房基金收入</t>
    </r>
  </si>
  <si>
    <t xml:space="preserve"> (十七)粮油物资储备支出</t>
  </si>
  <si>
    <t xml:space="preserve"> 3、城市基础设施配套费支出</t>
  </si>
  <si>
    <t xml:space="preserve"> （7）捐赠收入</t>
  </si>
  <si>
    <t>（十八）灾害防治及应急管理支出</t>
  </si>
  <si>
    <t xml:space="preserve"> 4、污水处理费支出</t>
  </si>
  <si>
    <t xml:space="preserve"> （8）其他收入</t>
  </si>
  <si>
    <t xml:space="preserve"> (十九)债务付息及发行费支出</t>
  </si>
  <si>
    <t xml:space="preserve"> 5、福利彩票公益金支出</t>
  </si>
  <si>
    <t>（二）上级财力性补助收入</t>
  </si>
  <si>
    <t xml:space="preserve"> (二十)其他支出</t>
  </si>
  <si>
    <t xml:space="preserve"> 6、体育彩票公益金支出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</si>
  <si>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1、</t>
    </r>
    <r>
      <rPr>
        <sz val="12"/>
        <rFont val="宋体"/>
        <charset val="134"/>
      </rPr>
      <t>返还性收入</t>
    </r>
  </si>
  <si>
    <t xml:space="preserve">     其中：预备费</t>
  </si>
  <si>
    <t xml:space="preserve"> 7、其他政府性基金支出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</si>
  <si>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2、</t>
    </r>
    <r>
      <rPr>
        <sz val="12"/>
        <rFont val="宋体"/>
        <charset val="134"/>
      </rPr>
      <t>一般性财力转移支付收入</t>
    </r>
  </si>
  <si>
    <t>二、上解支出</t>
  </si>
  <si>
    <t xml:space="preserve"> 8、专项债券收入安排的支出</t>
  </si>
  <si>
    <t>（三）新增地方政府一般债务收入</t>
  </si>
  <si>
    <t xml:space="preserve">   1、体制上解</t>
  </si>
  <si>
    <t>国 有 资 本 经 营 预  算</t>
  </si>
  <si>
    <t>（四）调入预算稳定调节基金</t>
  </si>
  <si>
    <t xml:space="preserve">   2、其他上解</t>
  </si>
  <si>
    <t>科    目</t>
  </si>
  <si>
    <t>（五）上年结转</t>
  </si>
  <si>
    <t>三、援助其他地区支出</t>
  </si>
  <si>
    <t>国有资本经营预算收入</t>
  </si>
  <si>
    <t>（六）调入资金</t>
  </si>
  <si>
    <t>四、债务还本</t>
  </si>
  <si>
    <t>国有资本经营预算支出</t>
  </si>
  <si>
    <t>另：上级提前下达专项性补助</t>
  </si>
  <si>
    <t>调出资金</t>
  </si>
  <si>
    <t>另：财税三家收入任务数</t>
  </si>
  <si>
    <t>社 会 保 险 基 金 预 算</t>
  </si>
  <si>
    <t>二、上划中央税收收入</t>
  </si>
  <si>
    <t xml:space="preserve">   一般公共预算总收入</t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</si>
  <si>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1、增值税</t>
    </r>
  </si>
  <si>
    <t xml:space="preserve">     1、税务局</t>
  </si>
  <si>
    <t>社会保险基金预算收入</t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</si>
  <si>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2、消费税</t>
    </r>
  </si>
  <si>
    <t xml:space="preserve">     2、财政局</t>
  </si>
  <si>
    <t xml:space="preserve">  其中：保险费收入</t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</si>
  <si>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3、所得税</t>
    </r>
  </si>
  <si>
    <t xml:space="preserve">   一般公共预算收入</t>
  </si>
  <si>
    <t xml:space="preserve">       财政补贴收入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</si>
  <si>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4、车辆购置税</t>
    </r>
  </si>
  <si>
    <t>社会保险基金预算支出</t>
  </si>
  <si>
    <t>三、一般公共预算总收入</t>
  </si>
  <si>
    <t>结转下年使用</t>
  </si>
  <si>
    <t xml:space="preserve">  企业所得税（40%）</t>
  </si>
  <si>
    <t xml:space="preserve">     国税部门</t>
  </si>
  <si>
    <t xml:space="preserve">     地税部门</t>
  </si>
  <si>
    <t xml:space="preserve"> </t>
  </si>
  <si>
    <t>2022年度财政支出预算调整计算表</t>
  </si>
  <si>
    <t>单位：万元</t>
  </si>
  <si>
    <t>科  目</t>
  </si>
  <si>
    <t>调增（减）</t>
  </si>
  <si>
    <t>用上年结转弥补</t>
  </si>
  <si>
    <t>增减财力安排及科目调剂</t>
  </si>
  <si>
    <t>地方政府债券支出</t>
  </si>
  <si>
    <t>暂缓支出</t>
  </si>
  <si>
    <t>转为暂付</t>
  </si>
  <si>
    <t>备注</t>
  </si>
  <si>
    <t>一、公共财政支出</t>
  </si>
  <si>
    <t>一般公共服务支出</t>
  </si>
  <si>
    <t xml:space="preserve"> (一)一般公共服务</t>
  </si>
  <si>
    <t>国防支出</t>
  </si>
  <si>
    <t xml:space="preserve"> (二)国防</t>
  </si>
  <si>
    <t>公共安全支出</t>
  </si>
  <si>
    <t xml:space="preserve"> (三)公共安全</t>
  </si>
  <si>
    <t>教育支出</t>
  </si>
  <si>
    <t xml:space="preserve"> (四)教育</t>
  </si>
  <si>
    <t>科学技术支出</t>
  </si>
  <si>
    <t xml:space="preserve"> (五)科学技术</t>
  </si>
  <si>
    <t>文化旅游体育与传媒支出</t>
  </si>
  <si>
    <t xml:space="preserve"> (六)文化体育与传媒</t>
  </si>
  <si>
    <t>社会保障和就业支出</t>
  </si>
  <si>
    <t xml:space="preserve"> (七)社会保障和就业</t>
  </si>
  <si>
    <t>卫生健康支出</t>
  </si>
  <si>
    <t xml:space="preserve"> (八)医疗卫生</t>
  </si>
  <si>
    <t>节能环保支出</t>
  </si>
  <si>
    <t xml:space="preserve"> (九)节能环保</t>
  </si>
  <si>
    <t>城乡社区支出</t>
  </si>
  <si>
    <t xml:space="preserve"> (十)城乡社区事务</t>
  </si>
  <si>
    <t>农林水支出</t>
  </si>
  <si>
    <t xml:space="preserve"> (十一)农林水事务</t>
  </si>
  <si>
    <t>交通运输支出</t>
  </si>
  <si>
    <t xml:space="preserve"> (十二)交通运输</t>
  </si>
  <si>
    <t>资源勘探工业信息等支出</t>
  </si>
  <si>
    <t xml:space="preserve"> (十三)资源勘探电力信息等事务</t>
  </si>
  <si>
    <t>商业服务业等支出</t>
  </si>
  <si>
    <t xml:space="preserve"> (十四)商业服务业等事务</t>
  </si>
  <si>
    <t>金融支出</t>
  </si>
  <si>
    <t xml:space="preserve"> (十五)国土资源气象等事务</t>
  </si>
  <si>
    <t>援助其他地区支出</t>
  </si>
  <si>
    <t>自然资源海洋气象等支出</t>
  </si>
  <si>
    <t xml:space="preserve"> (十七)粮油物资储备事务</t>
  </si>
  <si>
    <t>住房保障支出</t>
  </si>
  <si>
    <t>粮油物资储备支出</t>
  </si>
  <si>
    <t>灾害防治及应急管理支出</t>
  </si>
  <si>
    <t>预备费</t>
  </si>
  <si>
    <t>其他支出(类)</t>
  </si>
  <si>
    <t>债务付息支出</t>
  </si>
  <si>
    <t xml:space="preserve"> 1、一般公共服务支出</t>
  </si>
  <si>
    <t>债务发行费用支出</t>
  </si>
  <si>
    <t xml:space="preserve"> 2、国防支出</t>
  </si>
  <si>
    <t>民生支出</t>
  </si>
  <si>
    <t xml:space="preserve"> 3、公共安全支出</t>
  </si>
  <si>
    <t>占比</t>
  </si>
  <si>
    <t xml:space="preserve"> 4、教育支出</t>
  </si>
  <si>
    <t xml:space="preserve"> 5、科学技术支出</t>
  </si>
  <si>
    <t xml:space="preserve"> 6、文化旅游体育与传媒支出</t>
  </si>
  <si>
    <t xml:space="preserve"> 7、社会保障和就业支出</t>
  </si>
  <si>
    <t xml:space="preserve"> 8、卫生健康支出</t>
  </si>
  <si>
    <t xml:space="preserve"> 9、节能环保支出</t>
  </si>
  <si>
    <t xml:space="preserve"> 10、城乡社区支出</t>
  </si>
  <si>
    <t xml:space="preserve"> 11、农林水支出</t>
  </si>
  <si>
    <t xml:space="preserve"> 12、交通运输支出</t>
  </si>
  <si>
    <t xml:space="preserve"> 13、资源勘探工业信息等支出</t>
  </si>
  <si>
    <t xml:space="preserve"> 14、商业服务业等支出</t>
  </si>
  <si>
    <t xml:space="preserve"> 15、自然资源海洋气象等支出</t>
  </si>
  <si>
    <t xml:space="preserve"> 16、住房保障支出</t>
  </si>
  <si>
    <t xml:space="preserve"> 17、粮油物资储备支出</t>
  </si>
  <si>
    <t xml:space="preserve"> 18、灾害防治及应急管理支出</t>
  </si>
  <si>
    <t>2022年专项经费预算调整统计表</t>
  </si>
  <si>
    <r>
      <rPr>
        <sz val="12"/>
        <rFont val="Arial"/>
        <charset val="134"/>
      </rPr>
      <t xml:space="preserve">               </t>
    </r>
    <r>
      <rPr>
        <sz val="12"/>
        <rFont val="宋体"/>
        <charset val="134"/>
      </rPr>
      <t>单位：万元</t>
    </r>
  </si>
  <si>
    <t>科　目</t>
  </si>
  <si>
    <t>年初预算执行情况</t>
  </si>
  <si>
    <t>预算调整</t>
  </si>
  <si>
    <t>备　注</t>
  </si>
  <si>
    <t>年初预算专项</t>
  </si>
  <si>
    <t>1-10月已拨(含债券)</t>
  </si>
  <si>
    <t>至10月底  本年结余</t>
  </si>
  <si>
    <t>用上年结余弥补本年支出</t>
  </si>
  <si>
    <t>调整后专项预算数</t>
  </si>
  <si>
    <t>比年初预算增(减)</t>
  </si>
  <si>
    <t>预算调整后结余(至10月底)</t>
  </si>
  <si>
    <t>合　计</t>
  </si>
  <si>
    <t>1、一般公共服务</t>
  </si>
  <si>
    <t xml:space="preserve">  (1)馆藏档案数字化建设</t>
  </si>
  <si>
    <t xml:space="preserve">  (2)乡镇超收分成</t>
  </si>
  <si>
    <t xml:space="preserve">  (3)党建+邻里中心建设经费</t>
  </si>
  <si>
    <t xml:space="preserve">  (4)南洋华裔寻根服务平台建设</t>
  </si>
  <si>
    <t xml:space="preserve">  (5)其他专项</t>
  </si>
  <si>
    <t>2、其他国防专项</t>
  </si>
  <si>
    <t>3、其他公共安全专项</t>
  </si>
  <si>
    <t xml:space="preserve">  (1)乡镇综治网格员补贴</t>
  </si>
  <si>
    <t xml:space="preserve">  (2)其他专项</t>
  </si>
  <si>
    <t>4、其他教育专项</t>
  </si>
  <si>
    <t xml:space="preserve">  (1)教师各类奖金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</si>
  <si>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(2)债券安排建设项目</t>
    </r>
  </si>
  <si>
    <t xml:space="preserve">  (3)高考考点用电安全提升工程</t>
  </si>
  <si>
    <t xml:space="preserve">  (4)六中综合楼建设</t>
  </si>
  <si>
    <t>5、科学技术</t>
  </si>
  <si>
    <t>6、文体传媒专项</t>
  </si>
  <si>
    <t xml:space="preserve">  (1)债券安排建设项目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</si>
  <si>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(2)其他专项</t>
    </r>
  </si>
  <si>
    <t xml:space="preserve">  (3)暂缓支出</t>
  </si>
  <si>
    <t xml:space="preserve"> （4）转为暂付</t>
  </si>
  <si>
    <t>7、社会保障和就业专项</t>
  </si>
  <si>
    <t xml:space="preserve">  (1)“两节”慰问经费</t>
  </si>
  <si>
    <t>8、医疗卫生专项</t>
  </si>
  <si>
    <t xml:space="preserve">  (2)疫情防控支出</t>
  </si>
  <si>
    <t xml:space="preserve">  (3)其他专项</t>
  </si>
  <si>
    <t>9、节能环保专项</t>
  </si>
  <si>
    <r>
      <rPr>
        <sz val="12"/>
        <rFont val="宋体"/>
        <charset val="134"/>
      </rPr>
      <t xml:space="preserve">  (</t>
    </r>
    <r>
      <rPr>
        <sz val="12"/>
        <rFont val="宋体"/>
        <charset val="134"/>
      </rPr>
      <t xml:space="preserve">2)其他专项 </t>
    </r>
  </si>
  <si>
    <t>预留环保支出3101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</si>
  <si>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0</t>
    </r>
    <r>
      <rPr>
        <sz val="12"/>
        <rFont val="宋体"/>
        <charset val="134"/>
      </rPr>
      <t>、城乡社区专项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</si>
  <si>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1</t>
    </r>
    <r>
      <rPr>
        <sz val="12"/>
        <rFont val="宋体"/>
        <charset val="134"/>
      </rPr>
      <t>、其他农林水事务专项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</si>
  <si>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(1)债券安排的项目</t>
    </r>
  </si>
  <si>
    <t xml:space="preserve">  (2)永春农产品IP建设</t>
  </si>
  <si>
    <t xml:space="preserve">  (3)援藏援疆帮扶资金</t>
  </si>
  <si>
    <t xml:space="preserve">  (4)其他专项</t>
  </si>
  <si>
    <t>12、交通运输</t>
  </si>
  <si>
    <t xml:space="preserve">  (1)兴泉铁路永春车站常态性工作经费</t>
  </si>
  <si>
    <t xml:space="preserve">  (2)债券安排建设项目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</si>
  <si>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</t>
    </r>
    <r>
      <rPr>
        <sz val="12"/>
        <rFont val="宋体"/>
        <charset val="134"/>
      </rPr>
      <t>、资源勘探电力信息等事务专项</t>
    </r>
  </si>
  <si>
    <t xml:space="preserve">  (1)扶持企业奖励</t>
  </si>
  <si>
    <r>
      <rPr>
        <sz val="12"/>
        <rFont val="宋体"/>
        <charset val="134"/>
      </rPr>
      <t xml:space="preserve">  (</t>
    </r>
    <r>
      <rPr>
        <sz val="12"/>
        <rFont val="宋体"/>
        <charset val="134"/>
      </rPr>
      <t>5</t>
    </r>
    <r>
      <rPr>
        <sz val="12"/>
        <rFont val="宋体"/>
        <charset val="134"/>
      </rPr>
      <t>)其他专项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</si>
  <si>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4</t>
    </r>
    <r>
      <rPr>
        <sz val="12"/>
        <rFont val="宋体"/>
        <charset val="134"/>
      </rPr>
      <t>、商业服务业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</si>
  <si>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(1)其他专项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</si>
  <si>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(2)旅游专项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</si>
  <si>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</t>
    </r>
    <r>
      <rPr>
        <sz val="12"/>
        <rFont val="宋体"/>
        <charset val="134"/>
      </rPr>
      <t>、国土资源气象等增加</t>
    </r>
  </si>
  <si>
    <t xml:space="preserve">  (1)年初原基金列支项目调入</t>
  </si>
  <si>
    <t>16、住房保障支出</t>
  </si>
  <si>
    <t>17、粮食油事务（年初原基金列支项目）</t>
  </si>
  <si>
    <r>
      <rPr>
        <sz val="12"/>
        <rFont val="宋体"/>
        <charset val="134"/>
      </rPr>
      <t xml:space="preserve">  (2)储备粮</t>
    </r>
    <r>
      <rPr>
        <sz val="12"/>
        <rFont val="宋体"/>
        <charset val="134"/>
      </rPr>
      <t>(</t>
    </r>
    <r>
      <rPr>
        <sz val="12"/>
        <rFont val="宋体"/>
        <charset val="134"/>
      </rPr>
      <t>油</t>
    </r>
    <r>
      <rPr>
        <sz val="12"/>
        <rFont val="宋体"/>
        <charset val="134"/>
      </rPr>
      <t>)</t>
    </r>
    <r>
      <rPr>
        <sz val="12"/>
        <rFont val="宋体"/>
        <charset val="134"/>
      </rPr>
      <t>库建设</t>
    </r>
  </si>
  <si>
    <t xml:space="preserve"> （3）暂缓支出 </t>
  </si>
  <si>
    <t>18、灾害防治及应急管理支出</t>
  </si>
  <si>
    <t xml:space="preserve">   (1)自然灾害综合风险普查</t>
  </si>
  <si>
    <t xml:space="preserve">   (2)其他专项</t>
  </si>
  <si>
    <t>19、债务付息及发行费用支出</t>
  </si>
  <si>
    <t>20、其他支出</t>
  </si>
  <si>
    <t xml:space="preserve"> (1)增人增资追加预算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</si>
  <si>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(2)</t>
    </r>
    <r>
      <rPr>
        <sz val="12"/>
        <rFont val="宋体"/>
        <charset val="134"/>
      </rPr>
      <t>预备费</t>
    </r>
  </si>
  <si>
    <t xml:space="preserve"> (3)预留专项</t>
  </si>
  <si>
    <t>其他专项</t>
  </si>
  <si>
    <t>2022年财政收入预算调整统计表</t>
  </si>
  <si>
    <t>项目　</t>
  </si>
  <si>
    <t>年初    预算数</t>
  </si>
  <si>
    <t>1-10月　　　　　自然增长完成数</t>
  </si>
  <si>
    <t>1-10月　　　　　同口径完成数</t>
  </si>
  <si>
    <t>全年收入预算调整</t>
  </si>
  <si>
    <t>自然增长调整预算数</t>
  </si>
  <si>
    <t>同口径调整预算数</t>
  </si>
  <si>
    <t>超年初预算</t>
  </si>
  <si>
    <t>比增%</t>
  </si>
  <si>
    <t>一、财政总收入</t>
  </si>
  <si>
    <t xml:space="preserve">    税务局</t>
  </si>
  <si>
    <t xml:space="preserve">    财政局</t>
  </si>
  <si>
    <t xml:space="preserve"> 1、公共财政预算收入</t>
  </si>
  <si>
    <t xml:space="preserve"> (1)税性收入</t>
  </si>
  <si>
    <t xml:space="preserve">     增值税</t>
  </si>
  <si>
    <t xml:space="preserve">       国内增值税（50%）</t>
  </si>
  <si>
    <t xml:space="preserve">       改增增值税(50%)</t>
  </si>
  <si>
    <t xml:space="preserve">     营业税</t>
  </si>
  <si>
    <t xml:space="preserve">     企业所得税(40%)</t>
  </si>
  <si>
    <t xml:space="preserve">     个人所得税(40%)</t>
  </si>
  <si>
    <t xml:space="preserve">     其他工商税收</t>
  </si>
  <si>
    <t xml:space="preserve">     契税和耕地占用税</t>
  </si>
  <si>
    <t xml:space="preserve"> (2)非税收入</t>
  </si>
  <si>
    <t xml:space="preserve">     行政性收费收入</t>
  </si>
  <si>
    <t xml:space="preserve">     罚没收入</t>
  </si>
  <si>
    <t xml:space="preserve">     专项收入</t>
  </si>
  <si>
    <t xml:space="preserve">       其中教育附加费收入</t>
  </si>
  <si>
    <t xml:space="preserve">     国有资本经营收入</t>
  </si>
  <si>
    <t xml:space="preserve">     国有资源有偿使用收入</t>
  </si>
  <si>
    <t xml:space="preserve">     政府住房基金收入</t>
  </si>
  <si>
    <t>　　　捐赠收入</t>
  </si>
  <si>
    <t xml:space="preserve">     其他收入</t>
  </si>
  <si>
    <t xml:space="preserve"> 2、中央级收入</t>
  </si>
  <si>
    <t xml:space="preserve">    国内增值税(50%)</t>
  </si>
  <si>
    <t xml:space="preserve">    改增增值税</t>
  </si>
  <si>
    <t xml:space="preserve">    消费税</t>
  </si>
  <si>
    <t xml:space="preserve">    车辆购置税</t>
  </si>
  <si>
    <t xml:space="preserve">    企业所得税(60%)</t>
  </si>
  <si>
    <t xml:space="preserve">    个人所得税(60%)</t>
  </si>
  <si>
    <t>二、基金预算收入</t>
  </si>
  <si>
    <t xml:space="preserve">  1、其他收入</t>
  </si>
  <si>
    <t xml:space="preserve">  2、国有土地使用权出让金收入</t>
  </si>
  <si>
    <t xml:space="preserve">  3、城市基础设施配套费收入</t>
  </si>
  <si>
    <t xml:space="preserve">  4、污水处理费收入</t>
  </si>
  <si>
    <t xml:space="preserve">  5、福利彩票公益金收入</t>
  </si>
  <si>
    <t xml:space="preserve">  6、体育彩票公益金收入</t>
  </si>
  <si>
    <t>1-10月　　　　　完成数</t>
  </si>
  <si>
    <t>比上年增收</t>
  </si>
  <si>
    <t>2020年财政收入预算调整统计表</t>
  </si>
  <si>
    <t xml:space="preserve">  1、其他收入（城镇附加）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</si>
</sst>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_ ;[Red]\-0\ "/>
    <numFmt numFmtId="179" formatCode="0.0_ "/>
    <numFmt numFmtId="180" formatCode="0;_㐀"/>
  </numFmts>
  <fonts count="47"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8"/>
      <name val="黑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2"/>
      <name val="Arial"/>
      <charset val="134"/>
    </font>
    <font>
      <sz val="9"/>
      <name val="宋体"/>
      <charset val="134"/>
    </font>
    <font>
      <b/>
      <sz val="18"/>
      <color indexed="8"/>
      <name val="宋体"/>
      <charset val="134"/>
    </font>
    <font>
      <b/>
      <sz val="24"/>
      <color indexed="8"/>
      <name val="宋体"/>
      <charset val="134"/>
    </font>
    <font>
      <sz val="8"/>
      <name val="宋体"/>
      <charset val="134"/>
    </font>
    <font>
      <b/>
      <sz val="22"/>
      <color indexed="8"/>
      <name val="宋体"/>
      <charset val="134"/>
    </font>
    <font>
      <sz val="14"/>
      <name val="宋体"/>
      <charset val="134"/>
    </font>
    <font>
      <b/>
      <sz val="12"/>
      <color indexed="8"/>
      <name val="宋体"/>
      <charset val="134"/>
    </font>
    <font>
      <b/>
      <sz val="9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Courier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Tahoma"/>
      <charset val="134"/>
    </font>
    <font>
      <sz val="9"/>
      <name val="宋体"/>
      <charset val="134"/>
    </font>
    <font>
      <sz val="9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22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13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5" fillId="0" borderId="0"/>
    <xf numFmtId="0" fontId="23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12" borderId="14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2" fontId="36" fillId="0" borderId="0"/>
    <xf numFmtId="0" fontId="27" fillId="14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7" fillId="16" borderId="17" applyNumberFormat="0" applyAlignment="0" applyProtection="0">
      <alignment vertical="center"/>
    </xf>
    <xf numFmtId="0" fontId="38" fillId="16" borderId="13" applyNumberFormat="0" applyAlignment="0" applyProtection="0">
      <alignment vertical="center"/>
    </xf>
    <xf numFmtId="0" fontId="39" fillId="17" borderId="18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0" fillId="0" borderId="0">
      <alignment vertical="center"/>
    </xf>
  </cellStyleXfs>
  <cellXfs count="158">
    <xf numFmtId="0" fontId="0" fillId="0" borderId="0" xfId="0" applyAlignment="1">
      <alignment vertical="center"/>
    </xf>
    <xf numFmtId="0" fontId="1" fillId="0" borderId="0" xfId="52" applyFont="1"/>
    <xf numFmtId="0" fontId="2" fillId="0" borderId="0" xfId="52" applyFont="1"/>
    <xf numFmtId="0" fontId="1" fillId="0" borderId="0" xfId="52" applyFont="1" applyAlignment="1">
      <alignment horizontal="center"/>
    </xf>
    <xf numFmtId="0" fontId="3" fillId="0" borderId="0" xfId="52" applyFont="1" applyAlignment="1">
      <alignment horizontal="center"/>
    </xf>
    <xf numFmtId="0" fontId="2" fillId="0" borderId="1" xfId="52" applyFont="1" applyBorder="1" applyAlignment="1">
      <alignment horizontal="center" vertical="center" wrapText="1"/>
    </xf>
    <xf numFmtId="0" fontId="4" fillId="0" borderId="2" xfId="52" applyFont="1" applyBorder="1" applyAlignment="1">
      <alignment horizontal="center" vertical="center" wrapText="1"/>
    </xf>
    <xf numFmtId="0" fontId="4" fillId="0" borderId="3" xfId="52" applyFont="1" applyBorder="1" applyAlignment="1">
      <alignment horizontal="center"/>
    </xf>
    <xf numFmtId="0" fontId="4" fillId="0" borderId="0" xfId="52" applyFont="1" applyBorder="1" applyAlignment="1">
      <alignment horizontal="center"/>
    </xf>
    <xf numFmtId="0" fontId="5" fillId="0" borderId="4" xfId="52" applyFont="1" applyBorder="1" applyAlignment="1">
      <alignment horizontal="center" vertical="center" wrapText="1"/>
    </xf>
    <xf numFmtId="0" fontId="4" fillId="0" borderId="5" xfId="52" applyFont="1" applyBorder="1" applyAlignment="1">
      <alignment horizontal="center" vertical="center" wrapText="1"/>
    </xf>
    <xf numFmtId="0" fontId="2" fillId="0" borderId="3" xfId="52" applyFont="1" applyBorder="1" applyAlignment="1">
      <alignment horizontal="center"/>
    </xf>
    <xf numFmtId="0" fontId="2" fillId="0" borderId="0" xfId="52" applyFont="1" applyBorder="1" applyAlignment="1">
      <alignment horizontal="center"/>
    </xf>
    <xf numFmtId="0" fontId="6" fillId="0" borderId="3" xfId="53" applyFont="1" applyBorder="1"/>
    <xf numFmtId="176" fontId="6" fillId="0" borderId="6" xfId="53" applyNumberFormat="1" applyFont="1" applyBorder="1" applyAlignment="1">
      <alignment horizontal="center"/>
    </xf>
    <xf numFmtId="176" fontId="6" fillId="0" borderId="6" xfId="52" applyNumberFormat="1" applyFont="1" applyBorder="1" applyAlignment="1">
      <alignment horizontal="center"/>
    </xf>
    <xf numFmtId="177" fontId="6" fillId="0" borderId="3" xfId="52" applyNumberFormat="1" applyFont="1" applyBorder="1" applyAlignment="1">
      <alignment horizontal="center"/>
    </xf>
    <xf numFmtId="176" fontId="6" fillId="0" borderId="7" xfId="52" applyNumberFormat="1" applyFont="1" applyBorder="1" applyAlignment="1">
      <alignment horizontal="center"/>
    </xf>
    <xf numFmtId="0" fontId="7" fillId="0" borderId="3" xfId="53" applyFont="1" applyBorder="1"/>
    <xf numFmtId="176" fontId="7" fillId="0" borderId="6" xfId="53" applyNumberFormat="1" applyFont="1" applyBorder="1" applyAlignment="1">
      <alignment horizontal="center"/>
    </xf>
    <xf numFmtId="176" fontId="7" fillId="0" borderId="6" xfId="52" applyNumberFormat="1" applyFont="1" applyBorder="1" applyAlignment="1">
      <alignment horizontal="center"/>
    </xf>
    <xf numFmtId="177" fontId="7" fillId="0" borderId="3" xfId="52" applyNumberFormat="1" applyFont="1" applyBorder="1" applyAlignment="1">
      <alignment horizontal="center"/>
    </xf>
    <xf numFmtId="176" fontId="7" fillId="0" borderId="7" xfId="52" applyNumberFormat="1" applyFont="1" applyBorder="1" applyAlignment="1">
      <alignment horizontal="center"/>
    </xf>
    <xf numFmtId="0" fontId="7" fillId="0" borderId="7" xfId="52" applyNumberFormat="1" applyFont="1" applyBorder="1" applyAlignment="1">
      <alignment horizontal="center"/>
    </xf>
    <xf numFmtId="0" fontId="7" fillId="0" borderId="7" xfId="52" applyFont="1" applyBorder="1" applyAlignment="1">
      <alignment horizontal="center"/>
    </xf>
    <xf numFmtId="0" fontId="1" fillId="0" borderId="7" xfId="52" applyFont="1" applyBorder="1"/>
    <xf numFmtId="0" fontId="7" fillId="0" borderId="3" xfId="53" applyFont="1" applyBorder="1" applyAlignment="1">
      <alignment vertical="center" wrapText="1"/>
    </xf>
    <xf numFmtId="0" fontId="1" fillId="0" borderId="0" xfId="52" applyFont="1" applyBorder="1"/>
    <xf numFmtId="0" fontId="7" fillId="0" borderId="3" xfId="53" applyFont="1" applyFill="1" applyBorder="1" applyAlignment="1">
      <alignment horizontal="left" vertical="center"/>
    </xf>
    <xf numFmtId="176" fontId="7" fillId="0" borderId="3" xfId="53" applyNumberFormat="1" applyFont="1" applyBorder="1" applyAlignment="1">
      <alignment horizontal="center"/>
    </xf>
    <xf numFmtId="0" fontId="1" fillId="0" borderId="0" xfId="52" applyNumberFormat="1" applyFont="1" applyAlignment="1">
      <alignment horizontal="center"/>
    </xf>
    <xf numFmtId="176" fontId="1" fillId="0" borderId="0" xfId="52" applyNumberFormat="1" applyFont="1"/>
    <xf numFmtId="176" fontId="7" fillId="0" borderId="3" xfId="52" applyNumberFormat="1" applyFont="1" applyBorder="1" applyAlignment="1">
      <alignment horizontal="center"/>
    </xf>
    <xf numFmtId="0" fontId="1" fillId="2" borderId="6" xfId="52" applyFont="1" applyFill="1" applyBorder="1" applyAlignment="1"/>
    <xf numFmtId="0" fontId="1" fillId="2" borderId="3" xfId="52" applyFont="1" applyFill="1" applyBorder="1"/>
    <xf numFmtId="58" fontId="1" fillId="2" borderId="3" xfId="52" applyNumberFormat="1" applyFont="1" applyFill="1" applyBorder="1"/>
    <xf numFmtId="0" fontId="1" fillId="0" borderId="3" xfId="52" applyFont="1" applyBorder="1" applyAlignment="1">
      <alignment horizontal="center"/>
    </xf>
    <xf numFmtId="178" fontId="0" fillId="0" borderId="3" xfId="52" applyNumberFormat="1" applyFont="1" applyBorder="1" applyAlignment="1">
      <alignment horizontal="center"/>
    </xf>
    <xf numFmtId="0" fontId="1" fillId="3" borderId="3" xfId="52" applyFont="1" applyFill="1" applyBorder="1"/>
    <xf numFmtId="0" fontId="8" fillId="0" borderId="3" xfId="52" applyFont="1" applyBorder="1" applyAlignment="1">
      <alignment horizontal="center"/>
    </xf>
    <xf numFmtId="179" fontId="1" fillId="0" borderId="3" xfId="52" applyNumberFormat="1" applyFont="1" applyBorder="1" applyAlignment="1">
      <alignment horizontal="center"/>
    </xf>
    <xf numFmtId="10" fontId="6" fillId="0" borderId="3" xfId="52" applyNumberFormat="1" applyFont="1" applyBorder="1" applyAlignment="1">
      <alignment horizontal="center"/>
    </xf>
    <xf numFmtId="10" fontId="7" fillId="0" borderId="3" xfId="52" applyNumberFormat="1" applyFont="1" applyBorder="1" applyAlignment="1">
      <alignment horizontal="center"/>
    </xf>
    <xf numFmtId="0" fontId="0" fillId="0" borderId="3" xfId="52" applyFont="1" applyBorder="1" applyAlignment="1">
      <alignment horizontal="center" vertical="center"/>
    </xf>
    <xf numFmtId="1" fontId="0" fillId="0" borderId="3" xfId="52" applyNumberFormat="1" applyFont="1" applyBorder="1" applyAlignment="1">
      <alignment horizontal="center" vertical="center"/>
    </xf>
    <xf numFmtId="0" fontId="9" fillId="0" borderId="0" xfId="52" applyFont="1" applyAlignment="1">
      <alignment horizontal="center" vertical="center"/>
    </xf>
    <xf numFmtId="0" fontId="10" fillId="0" borderId="0" xfId="52" applyFont="1"/>
    <xf numFmtId="2" fontId="1" fillId="0" borderId="0" xfId="52" applyNumberFormat="1" applyFont="1"/>
    <xf numFmtId="0" fontId="10" fillId="0" borderId="3" xfId="52" applyFont="1" applyBorder="1" applyAlignment="1">
      <alignment horizontal="center" vertical="center"/>
    </xf>
    <xf numFmtId="0" fontId="8" fillId="0" borderId="3" xfId="52" applyFont="1" applyBorder="1" applyAlignment="1">
      <alignment horizontal="center" vertical="center"/>
    </xf>
    <xf numFmtId="0" fontId="2" fillId="0" borderId="3" xfId="52" applyFont="1" applyFill="1" applyBorder="1" applyAlignment="1">
      <alignment horizontal="center" vertical="center" wrapText="1"/>
    </xf>
    <xf numFmtId="0" fontId="2" fillId="4" borderId="3" xfId="52" applyFont="1" applyFill="1" applyBorder="1" applyAlignment="1" applyProtection="1">
      <alignment horizontal="center" vertical="center" wrapText="1"/>
      <protection locked="0"/>
    </xf>
    <xf numFmtId="0" fontId="2" fillId="0" borderId="1" xfId="52" applyFont="1" applyFill="1" applyBorder="1" applyAlignment="1">
      <alignment horizontal="center" vertical="center" wrapText="1"/>
    </xf>
    <xf numFmtId="0" fontId="8" fillId="0" borderId="3" xfId="52" applyFont="1" applyBorder="1" applyAlignment="1">
      <alignment horizontal="left" vertical="center" wrapText="1"/>
    </xf>
    <xf numFmtId="1" fontId="8" fillId="0" borderId="3" xfId="52" applyNumberFormat="1" applyFont="1" applyBorder="1" applyAlignment="1">
      <alignment horizontal="center" vertical="center"/>
    </xf>
    <xf numFmtId="2" fontId="0" fillId="2" borderId="3" xfId="23" applyFont="1" applyFill="1" applyBorder="1" applyAlignment="1" applyProtection="1">
      <alignment horizontal="left" vertical="center"/>
    </xf>
    <xf numFmtId="1" fontId="0" fillId="2" borderId="3" xfId="52" applyNumberFormat="1" applyFont="1" applyFill="1" applyBorder="1" applyAlignment="1">
      <alignment horizontal="center" vertical="center"/>
    </xf>
    <xf numFmtId="2" fontId="7" fillId="0" borderId="3" xfId="23" applyFont="1" applyBorder="1" applyAlignment="1" applyProtection="1">
      <alignment horizontal="left" vertical="center"/>
    </xf>
    <xf numFmtId="1" fontId="0" fillId="5" borderId="3" xfId="52" applyNumberFormat="1" applyFont="1" applyFill="1" applyBorder="1" applyAlignment="1">
      <alignment horizontal="center" vertical="center"/>
    </xf>
    <xf numFmtId="1" fontId="0" fillId="0" borderId="3" xfId="52" applyNumberFormat="1" applyFont="1" applyFill="1" applyBorder="1" applyAlignment="1">
      <alignment horizontal="center" vertical="center"/>
    </xf>
    <xf numFmtId="2" fontId="0" fillId="0" borderId="3" xfId="23" applyFont="1" applyBorder="1" applyAlignment="1" applyProtection="1">
      <alignment horizontal="left" vertical="center"/>
    </xf>
    <xf numFmtId="2" fontId="0" fillId="0" borderId="3" xfId="23" applyFont="1" applyFill="1" applyBorder="1" applyAlignment="1" applyProtection="1">
      <alignment horizontal="left" vertical="center"/>
    </xf>
    <xf numFmtId="2" fontId="0" fillId="0" borderId="3" xfId="23" applyFont="1" applyFill="1" applyBorder="1" applyAlignment="1" applyProtection="1">
      <alignment horizontal="left" vertical="center" wrapText="1"/>
    </xf>
    <xf numFmtId="2" fontId="7" fillId="0" borderId="3" xfId="23" applyFont="1" applyFill="1" applyBorder="1" applyAlignment="1" applyProtection="1">
      <alignment horizontal="left" vertical="center"/>
    </xf>
    <xf numFmtId="0" fontId="0" fillId="0" borderId="3" xfId="23" applyNumberFormat="1" applyFont="1" applyFill="1" applyBorder="1" applyAlignment="1" applyProtection="1">
      <alignment horizontal="left" vertical="center"/>
    </xf>
    <xf numFmtId="0" fontId="10" fillId="0" borderId="3" xfId="52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vertical="center" wrapText="1"/>
    </xf>
    <xf numFmtId="1" fontId="10" fillId="0" borderId="3" xfId="52" applyNumberFormat="1" applyFont="1" applyFill="1" applyBorder="1" applyAlignment="1">
      <alignment horizontal="center" vertical="center"/>
    </xf>
    <xf numFmtId="0" fontId="2" fillId="0" borderId="3" xfId="52" applyFont="1" applyBorder="1"/>
    <xf numFmtId="0" fontId="11" fillId="0" borderId="3" xfId="52" applyFont="1" applyBorder="1" applyAlignment="1">
      <alignment vertical="center" wrapText="1"/>
    </xf>
    <xf numFmtId="0" fontId="2" fillId="0" borderId="3" xfId="52" applyFont="1" applyBorder="1" applyAlignment="1">
      <alignment vertical="center" wrapText="1"/>
    </xf>
    <xf numFmtId="0" fontId="2" fillId="2" borderId="3" xfId="52" applyFont="1" applyFill="1" applyBorder="1" applyAlignment="1">
      <alignment vertical="center" wrapText="1"/>
    </xf>
    <xf numFmtId="0" fontId="2" fillId="0" borderId="3" xfId="52" applyFont="1" applyBorder="1" applyAlignment="1">
      <alignment wrapText="1"/>
    </xf>
    <xf numFmtId="2" fontId="1" fillId="2" borderId="3" xfId="52" applyNumberFormat="1" applyFont="1" applyFill="1" applyBorder="1" applyAlignment="1">
      <alignment horizontal="center" vertical="center"/>
    </xf>
    <xf numFmtId="2" fontId="2" fillId="0" borderId="3" xfId="52" applyNumberFormat="1" applyFont="1" applyBorder="1" applyAlignment="1">
      <alignment horizontal="left" vertical="center"/>
    </xf>
    <xf numFmtId="0" fontId="2" fillId="2" borderId="3" xfId="52" applyFont="1" applyFill="1" applyBorder="1"/>
    <xf numFmtId="0" fontId="2" fillId="0" borderId="3" xfId="52" applyFont="1" applyFill="1" applyBorder="1" applyAlignment="1">
      <alignment vertical="center" wrapText="1"/>
    </xf>
    <xf numFmtId="0" fontId="0" fillId="2" borderId="3" xfId="23" applyNumberFormat="1" applyFont="1" applyFill="1" applyBorder="1" applyAlignment="1" applyProtection="1">
      <alignment horizontal="center" vertical="center"/>
    </xf>
    <xf numFmtId="2" fontId="0" fillId="0" borderId="3" xfId="23" applyFont="1" applyBorder="1" applyAlignment="1" applyProtection="1">
      <alignment vertical="center"/>
    </xf>
    <xf numFmtId="2" fontId="0" fillId="0" borderId="3" xfId="52" applyNumberFormat="1" applyFont="1" applyFill="1" applyBorder="1" applyAlignment="1">
      <alignment horizontal="center" vertical="center"/>
    </xf>
    <xf numFmtId="2" fontId="7" fillId="0" borderId="3" xfId="52" applyNumberFormat="1" applyFont="1" applyFill="1" applyBorder="1" applyAlignment="1">
      <alignment vertical="center" wrapText="1"/>
    </xf>
    <xf numFmtId="0" fontId="7" fillId="0" borderId="3" xfId="52" applyFont="1" applyFill="1" applyBorder="1" applyAlignment="1">
      <alignment vertical="center" wrapText="1"/>
    </xf>
    <xf numFmtId="0" fontId="1" fillId="0" borderId="0" xfId="52" applyFont="1" applyFill="1"/>
    <xf numFmtId="0" fontId="1" fillId="0" borderId="0" xfId="52" applyFont="1" applyFill="1" applyAlignment="1">
      <alignment horizontal="center"/>
    </xf>
    <xf numFmtId="1" fontId="1" fillId="0" borderId="0" xfId="52" applyNumberFormat="1" applyFont="1" applyFill="1"/>
    <xf numFmtId="0" fontId="1" fillId="0" borderId="3" xfId="52" applyFont="1" applyBorder="1"/>
    <xf numFmtId="0" fontId="0" fillId="0" borderId="3" xfId="52" applyFont="1" applyBorder="1"/>
    <xf numFmtId="1" fontId="12" fillId="0" borderId="0" xfId="52" applyNumberFormat="1" applyFont="1" applyAlignment="1" applyProtection="1">
      <alignment horizontal="center" vertical="center"/>
    </xf>
    <xf numFmtId="0" fontId="0" fillId="0" borderId="1" xfId="52" applyFont="1" applyBorder="1" applyAlignment="1">
      <alignment horizontal="center" vertical="center"/>
    </xf>
    <xf numFmtId="0" fontId="0" fillId="0" borderId="1" xfId="52" applyFont="1" applyBorder="1" applyAlignment="1">
      <alignment horizontal="center" vertical="center" wrapText="1"/>
    </xf>
    <xf numFmtId="176" fontId="8" fillId="0" borderId="3" xfId="52" applyNumberFormat="1" applyFont="1" applyBorder="1" applyAlignment="1">
      <alignment horizontal="center" vertical="center"/>
    </xf>
    <xf numFmtId="176" fontId="0" fillId="0" borderId="3" xfId="52" applyNumberFormat="1" applyFont="1" applyBorder="1" applyAlignment="1">
      <alignment horizontal="center" vertical="center"/>
    </xf>
    <xf numFmtId="176" fontId="0" fillId="0" borderId="4" xfId="52" applyNumberFormat="1" applyFont="1" applyBorder="1" applyAlignment="1" applyProtection="1">
      <alignment horizontal="left" vertical="center"/>
      <protection locked="0"/>
    </xf>
    <xf numFmtId="176" fontId="7" fillId="0" borderId="5" xfId="52" applyNumberFormat="1" applyFont="1" applyBorder="1" applyAlignment="1" applyProtection="1">
      <alignment horizontal="left" vertical="center"/>
      <protection locked="0"/>
    </xf>
    <xf numFmtId="2" fontId="7" fillId="0" borderId="6" xfId="23" applyFont="1" applyBorder="1" applyAlignment="1" applyProtection="1">
      <alignment horizontal="left" vertical="center"/>
    </xf>
    <xf numFmtId="2" fontId="0" fillId="0" borderId="6" xfId="23" applyFont="1" applyBorder="1" applyAlignment="1" applyProtection="1">
      <alignment horizontal="left" vertical="center"/>
    </xf>
    <xf numFmtId="0" fontId="0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1" fontId="13" fillId="0" borderId="0" xfId="52" applyNumberFormat="1" applyFont="1" applyAlignment="1" applyProtection="1">
      <alignment vertical="center"/>
    </xf>
    <xf numFmtId="0" fontId="0" fillId="0" borderId="3" xfId="52" applyFont="1" applyBorder="1" applyAlignment="1">
      <alignment vertical="center"/>
    </xf>
    <xf numFmtId="0" fontId="14" fillId="0" borderId="3" xfId="52" applyFont="1" applyBorder="1" applyAlignment="1">
      <alignment vertical="center"/>
    </xf>
    <xf numFmtId="1" fontId="15" fillId="0" borderId="0" xfId="52" applyNumberFormat="1" applyFont="1" applyAlignment="1" applyProtection="1">
      <alignment horizontal="center" vertical="center"/>
    </xf>
    <xf numFmtId="0" fontId="16" fillId="0" borderId="0" xfId="52" applyFont="1" applyAlignment="1"/>
    <xf numFmtId="0" fontId="17" fillId="0" borderId="3" xfId="52" applyFont="1" applyBorder="1" applyAlignment="1" applyProtection="1">
      <alignment horizontal="center" vertical="center"/>
    </xf>
    <xf numFmtId="0" fontId="6" fillId="0" borderId="3" xfId="52" applyFont="1" applyBorder="1" applyAlignment="1">
      <alignment horizontal="center" vertical="center" wrapText="1"/>
    </xf>
    <xf numFmtId="0" fontId="18" fillId="0" borderId="3" xfId="52" applyFont="1" applyBorder="1" applyAlignment="1" applyProtection="1">
      <alignment horizontal="center" vertical="center" wrapText="1"/>
    </xf>
    <xf numFmtId="176" fontId="8" fillId="0" borderId="3" xfId="52" applyNumberFormat="1" applyFont="1" applyBorder="1" applyAlignment="1">
      <alignment horizontal="center" vertical="center" wrapText="1"/>
    </xf>
    <xf numFmtId="0" fontId="8" fillId="0" borderId="3" xfId="52" applyFont="1" applyBorder="1" applyAlignment="1">
      <alignment horizontal="center" vertical="center" wrapText="1"/>
    </xf>
    <xf numFmtId="0" fontId="17" fillId="6" borderId="6" xfId="52" applyFont="1" applyFill="1" applyBorder="1" applyAlignment="1" applyProtection="1">
      <alignment horizontal="center" vertical="center"/>
    </xf>
    <xf numFmtId="0" fontId="8" fillId="4" borderId="3" xfId="52" applyFont="1" applyFill="1" applyBorder="1" applyAlignment="1">
      <alignment vertical="center"/>
    </xf>
    <xf numFmtId="0" fontId="6" fillId="0" borderId="3" xfId="52" applyFont="1" applyBorder="1" applyAlignment="1">
      <alignment horizontal="left" vertical="center" wrapText="1"/>
    </xf>
    <xf numFmtId="0" fontId="0" fillId="0" borderId="3" xfId="52" applyNumberFormat="1" applyFont="1" applyBorder="1" applyAlignment="1">
      <alignment horizontal="center" vertical="center"/>
    </xf>
    <xf numFmtId="0" fontId="19" fillId="0" borderId="3" xfId="52" applyFont="1" applyBorder="1" applyProtection="1"/>
    <xf numFmtId="0" fontId="0" fillId="4" borderId="3" xfId="52" applyFont="1" applyFill="1" applyBorder="1" applyAlignment="1">
      <alignment vertical="center"/>
    </xf>
    <xf numFmtId="1" fontId="7" fillId="0" borderId="3" xfId="6" applyNumberFormat="1" applyFont="1" applyFill="1" applyBorder="1" applyAlignment="1">
      <alignment horizontal="left" vertical="center"/>
    </xf>
    <xf numFmtId="0" fontId="0" fillId="0" borderId="6" xfId="52" applyNumberFormat="1" applyFont="1" applyBorder="1" applyAlignment="1">
      <alignment horizontal="center" vertical="center"/>
    </xf>
    <xf numFmtId="1" fontId="6" fillId="0" borderId="3" xfId="6" applyNumberFormat="1" applyFont="1" applyFill="1" applyBorder="1" applyAlignment="1">
      <alignment horizontal="left" vertical="center"/>
    </xf>
    <xf numFmtId="0" fontId="0" fillId="0" borderId="3" xfId="52" applyFont="1" applyFill="1" applyBorder="1" applyAlignment="1">
      <alignment vertical="center"/>
    </xf>
    <xf numFmtId="0" fontId="19" fillId="0" borderId="3" xfId="52" applyFont="1" applyBorder="1" applyAlignment="1" applyProtection="1">
      <alignment horizontal="center" vertical="center"/>
    </xf>
    <xf numFmtId="176" fontId="7" fillId="0" borderId="4" xfId="52" applyNumberFormat="1" applyFont="1" applyBorder="1" applyAlignment="1" applyProtection="1">
      <alignment horizontal="left" vertical="center"/>
      <protection locked="0"/>
    </xf>
    <xf numFmtId="0" fontId="6" fillId="0" borderId="3" xfId="52" applyFont="1" applyBorder="1" applyAlignment="1">
      <alignment vertical="center"/>
    </xf>
    <xf numFmtId="0" fontId="6" fillId="0" borderId="3" xfId="52" applyFont="1" applyFill="1" applyBorder="1" applyAlignment="1">
      <alignment vertical="center"/>
    </xf>
    <xf numFmtId="0" fontId="7" fillId="0" borderId="3" xfId="52" applyFont="1" applyBorder="1" applyAlignment="1">
      <alignment vertical="center"/>
    </xf>
    <xf numFmtId="176" fontId="20" fillId="0" borderId="3" xfId="52" applyNumberFormat="1" applyFont="1" applyBorder="1" applyAlignment="1" applyProtection="1">
      <alignment horizontal="center" vertical="center"/>
    </xf>
    <xf numFmtId="0" fontId="8" fillId="0" borderId="3" xfId="52" applyFont="1" applyBorder="1" applyAlignment="1">
      <alignment vertical="center"/>
    </xf>
    <xf numFmtId="176" fontId="17" fillId="0" borderId="3" xfId="52" applyNumberFormat="1" applyFont="1" applyBorder="1" applyAlignment="1" applyProtection="1">
      <alignment horizontal="center" vertical="center"/>
    </xf>
    <xf numFmtId="176" fontId="8" fillId="0" borderId="3" xfId="52" applyNumberFormat="1" applyFont="1" applyBorder="1" applyAlignment="1">
      <alignment vertical="center"/>
    </xf>
    <xf numFmtId="0" fontId="8" fillId="0" borderId="3" xfId="52" applyFont="1" applyBorder="1" applyAlignment="1">
      <alignment horizontal="left" vertical="center"/>
    </xf>
    <xf numFmtId="176" fontId="8" fillId="0" borderId="6" xfId="52" applyNumberFormat="1" applyFont="1" applyBorder="1" applyAlignment="1">
      <alignment vertical="center"/>
    </xf>
    <xf numFmtId="2" fontId="6" fillId="0" borderId="6" xfId="23" applyFont="1" applyBorder="1" applyAlignment="1" applyProtection="1">
      <alignment horizontal="left" vertical="center"/>
    </xf>
    <xf numFmtId="176" fontId="0" fillId="0" borderId="6" xfId="52" applyNumberFormat="1" applyFont="1" applyBorder="1" applyAlignment="1">
      <alignment horizontal="center" vertical="center"/>
    </xf>
    <xf numFmtId="1" fontId="8" fillId="2" borderId="3" xfId="6" applyNumberFormat="1" applyFont="1" applyFill="1" applyBorder="1" applyAlignment="1">
      <alignment vertical="center"/>
    </xf>
    <xf numFmtId="1" fontId="0" fillId="0" borderId="3" xfId="6" applyNumberFormat="1" applyFont="1" applyFill="1" applyBorder="1" applyAlignment="1">
      <alignment horizontal="left" vertical="center"/>
    </xf>
    <xf numFmtId="0" fontId="7" fillId="0" borderId="3" xfId="52" applyFont="1" applyFill="1" applyBorder="1" applyAlignment="1">
      <alignment horizontal="left" vertical="center"/>
    </xf>
    <xf numFmtId="176" fontId="0" fillId="0" borderId="3" xfId="52" applyNumberFormat="1" applyFont="1" applyBorder="1" applyAlignment="1">
      <alignment horizontal="center" vertical="center" wrapText="1"/>
    </xf>
    <xf numFmtId="176" fontId="0" fillId="0" borderId="6" xfId="52" applyNumberFormat="1" applyFont="1" applyBorder="1" applyAlignment="1">
      <alignment horizontal="center" vertical="center" wrapText="1"/>
    </xf>
    <xf numFmtId="0" fontId="17" fillId="0" borderId="3" xfId="52" applyFont="1" applyBorder="1" applyAlignment="1" applyProtection="1">
      <alignment horizontal="left" vertical="center"/>
    </xf>
    <xf numFmtId="1" fontId="6" fillId="0" borderId="7" xfId="6" applyNumberFormat="1" applyFont="1" applyFill="1" applyBorder="1" applyAlignment="1">
      <alignment vertical="center" wrapText="1"/>
    </xf>
    <xf numFmtId="180" fontId="0" fillId="0" borderId="3" xfId="52" applyNumberFormat="1" applyFont="1" applyBorder="1" applyAlignment="1">
      <alignment horizontal="center" vertical="center"/>
    </xf>
    <xf numFmtId="1" fontId="6" fillId="0" borderId="5" xfId="6" applyNumberFormat="1" applyFont="1" applyFill="1" applyBorder="1" applyAlignment="1">
      <alignment vertical="center" wrapText="1"/>
    </xf>
    <xf numFmtId="1" fontId="6" fillId="0" borderId="0" xfId="6" applyNumberFormat="1" applyFont="1" applyFill="1" applyBorder="1" applyAlignment="1">
      <alignment horizontal="left" vertical="center"/>
    </xf>
    <xf numFmtId="0" fontId="16" fillId="0" borderId="0" xfId="52" applyFont="1" applyBorder="1" applyAlignment="1">
      <alignment horizontal="left" wrapText="1"/>
    </xf>
    <xf numFmtId="0" fontId="17" fillId="6" borderId="8" xfId="52" applyFont="1" applyFill="1" applyBorder="1" applyAlignment="1" applyProtection="1">
      <alignment horizontal="center" vertical="center"/>
    </xf>
    <xf numFmtId="0" fontId="17" fillId="6" borderId="9" xfId="52" applyFont="1" applyFill="1" applyBorder="1" applyAlignment="1" applyProtection="1">
      <alignment horizontal="center" vertical="center"/>
    </xf>
    <xf numFmtId="0" fontId="4" fillId="0" borderId="3" xfId="52" applyFont="1" applyBorder="1" applyAlignment="1">
      <alignment horizontal="center" vertical="center"/>
    </xf>
    <xf numFmtId="176" fontId="7" fillId="0" borderId="3" xfId="52" applyNumberFormat="1" applyFont="1" applyBorder="1" applyAlignment="1">
      <alignment horizontal="center" vertical="center"/>
    </xf>
    <xf numFmtId="176" fontId="8" fillId="0" borderId="3" xfId="52" applyNumberFormat="1" applyFont="1" applyFill="1" applyBorder="1" applyAlignment="1">
      <alignment horizontal="center" vertical="center"/>
    </xf>
    <xf numFmtId="176" fontId="6" fillId="0" borderId="3" xfId="52" applyNumberFormat="1" applyFont="1" applyFill="1" applyBorder="1" applyAlignment="1">
      <alignment horizontal="center" vertical="center"/>
    </xf>
    <xf numFmtId="0" fontId="6" fillId="0" borderId="3" xfId="52" applyFont="1" applyBorder="1" applyAlignment="1">
      <alignment horizontal="center" vertical="center"/>
    </xf>
    <xf numFmtId="0" fontId="19" fillId="0" borderId="3" xfId="52" applyFont="1" applyFill="1" applyBorder="1" applyAlignment="1" applyProtection="1">
      <alignment horizontal="center" vertical="center"/>
    </xf>
    <xf numFmtId="0" fontId="21" fillId="0" borderId="3" xfId="52" applyFont="1" applyFill="1" applyBorder="1" applyAlignment="1" applyProtection="1">
      <alignment horizontal="center" vertical="center"/>
    </xf>
    <xf numFmtId="1" fontId="6" fillId="0" borderId="0" xfId="6" applyNumberFormat="1" applyFont="1" applyFill="1" applyBorder="1" applyAlignment="1">
      <alignment vertical="center" wrapText="1"/>
    </xf>
    <xf numFmtId="1" fontId="6" fillId="0" borderId="10" xfId="6" applyNumberFormat="1" applyFont="1" applyFill="1" applyBorder="1" applyAlignment="1">
      <alignment vertical="center" wrapText="1"/>
    </xf>
    <xf numFmtId="1" fontId="6" fillId="0" borderId="11" xfId="6" applyNumberFormat="1" applyFont="1" applyFill="1" applyBorder="1" applyAlignment="1">
      <alignment vertical="center" wrapText="1"/>
    </xf>
    <xf numFmtId="1" fontId="6" fillId="0" borderId="12" xfId="6" applyNumberFormat="1" applyFont="1" applyFill="1" applyBorder="1" applyAlignment="1">
      <alignment vertical="center" wrapText="1"/>
    </xf>
    <xf numFmtId="0" fontId="8" fillId="0" borderId="0" xfId="52" applyFont="1" applyBorder="1" applyAlignment="1">
      <alignment horizontal="center" vertical="center" wrapText="1"/>
    </xf>
    <xf numFmtId="0" fontId="8" fillId="0" borderId="0" xfId="52" applyFont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2001年收支预计及2002年 市预算收支及增长计划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2017年全市一般公共预算支出计划表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常规_2005、2006年全国和地方收入表（人代会）无债务收入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?鹎%U龡&amp;H齲_x0001_C铣_x0014__x0007__x0001__x0001_" xfId="52"/>
    <cellStyle name="样式 1" xfId="53"/>
    <cellStyle name="常规_2014年月报表样" xfId="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8"/>
  <sheetViews>
    <sheetView showZeros="0" tabSelected="1" workbookViewId="0">
      <selection activeCell="A1" sqref="A1:J1"/>
    </sheetView>
  </sheetViews>
  <sheetFormatPr defaultColWidth="9" defaultRowHeight="14.25"/>
  <cols>
    <col min="1" max="1" width="33.125" customWidth="1"/>
    <col min="2" max="2" width="9.25" customWidth="1"/>
    <col min="3" max="3" width="9.125" customWidth="1"/>
    <col min="4" max="4" width="30.75" customWidth="1"/>
    <col min="5" max="6" width="8.75" customWidth="1"/>
    <col min="8" max="8" width="28.875" customWidth="1"/>
    <col min="9" max="9" width="9.875" customWidth="1"/>
    <col min="10" max="10" width="9.5" customWidth="1"/>
    <col min="12" max="12" width="9.375"/>
  </cols>
  <sheetData>
    <row r="1" ht="23.25" customHeight="1" spans="1:10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</row>
    <row r="2" ht="18.75" customHeight="1" spans="1:10">
      <c r="A2" s="103" t="s">
        <v>1</v>
      </c>
      <c r="I2" t="s">
        <v>2</v>
      </c>
      <c r="J2" s="142"/>
    </row>
    <row r="3" ht="33" customHeight="1" spans="1:10">
      <c r="A3" s="104" t="s">
        <v>3</v>
      </c>
      <c r="B3" s="105" t="s">
        <v>4</v>
      </c>
      <c r="C3" s="105" t="s">
        <v>5</v>
      </c>
      <c r="D3" s="104" t="s">
        <v>3</v>
      </c>
      <c r="E3" s="105" t="s">
        <v>6</v>
      </c>
      <c r="F3" s="105" t="s">
        <v>5</v>
      </c>
      <c r="G3" s="106" t="s">
        <v>7</v>
      </c>
      <c r="H3" s="104" t="s">
        <v>8</v>
      </c>
      <c r="I3" s="105" t="s">
        <v>9</v>
      </c>
      <c r="J3" s="105" t="s">
        <v>5</v>
      </c>
    </row>
    <row r="4" ht="15.75" customHeight="1" spans="1:10">
      <c r="A4" s="53" t="s">
        <v>10</v>
      </c>
      <c r="B4" s="107">
        <f>SUM(B5,B25,B28:B31)</f>
        <v>370000</v>
      </c>
      <c r="C4" s="107">
        <f>SUM(C5,C25,C28:C31)</f>
        <v>310290</v>
      </c>
      <c r="D4" s="108" t="s">
        <v>11</v>
      </c>
      <c r="E4" s="90">
        <f>SUM(E5,E27,E30,E31)</f>
        <v>370000</v>
      </c>
      <c r="F4" s="90">
        <f>SUM(F5,F27,F30,F31)</f>
        <v>310290</v>
      </c>
      <c r="G4" s="90">
        <f>SUM(G5,G27)</f>
        <v>50215</v>
      </c>
      <c r="H4" s="109" t="s">
        <v>12</v>
      </c>
      <c r="I4" s="143"/>
      <c r="J4" s="144"/>
    </row>
    <row r="5" ht="15.75" customHeight="1" spans="1:10">
      <c r="A5" s="110" t="s">
        <v>13</v>
      </c>
      <c r="B5" s="107">
        <f>SUM(B6,B15)</f>
        <v>137900</v>
      </c>
      <c r="C5" s="107">
        <f>SUM(C6,C15)</f>
        <v>137900</v>
      </c>
      <c r="D5" s="111" t="s">
        <v>14</v>
      </c>
      <c r="E5" s="90">
        <f>SUM(E6:E9,E10:E16,E17:E25)</f>
        <v>320644</v>
      </c>
      <c r="F5" s="90">
        <f>SUM(F6:F9,F10:F16,F17:F25)</f>
        <v>281212</v>
      </c>
      <c r="G5" s="90">
        <f>SUM(G6:G9,G10:G16,G17:G25)</f>
        <v>50215</v>
      </c>
      <c r="H5" s="104" t="s">
        <v>15</v>
      </c>
      <c r="I5" s="145" t="s">
        <v>16</v>
      </c>
      <c r="J5" s="145" t="s">
        <v>17</v>
      </c>
    </row>
    <row r="6" ht="15.75" customHeight="1" spans="1:10">
      <c r="A6" s="110" t="s">
        <v>18</v>
      </c>
      <c r="B6" s="54">
        <f>SUM(B7,B10:B11,B12:B14)</f>
        <v>95600</v>
      </c>
      <c r="C6" s="54">
        <f>SUM(C7,C10:C11,C12:C14)</f>
        <v>95600</v>
      </c>
      <c r="D6" s="57" t="s">
        <v>19</v>
      </c>
      <c r="E6" s="91">
        <v>36276</v>
      </c>
      <c r="F6" s="91">
        <f>支出调整计算!C5</f>
        <v>25512.2</v>
      </c>
      <c r="G6" s="112">
        <v>31</v>
      </c>
      <c r="H6" s="113" t="s">
        <v>20</v>
      </c>
      <c r="I6" s="90">
        <f>SUM(I7:I12)</f>
        <v>248400</v>
      </c>
      <c r="J6" s="90">
        <f>SUM(J7:J12)</f>
        <v>67183</v>
      </c>
    </row>
    <row r="7" ht="15.75" customHeight="1" spans="1:11">
      <c r="A7" s="114" t="s">
        <v>21</v>
      </c>
      <c r="B7" s="44">
        <f>SUM(B8:B9)</f>
        <v>35250</v>
      </c>
      <c r="C7" s="44">
        <v>35250</v>
      </c>
      <c r="D7" s="57" t="s">
        <v>22</v>
      </c>
      <c r="E7" s="91">
        <v>418</v>
      </c>
      <c r="F7" s="91">
        <f>支出调整计算!C6</f>
        <v>500.8</v>
      </c>
      <c r="G7" s="112"/>
      <c r="H7" s="115" t="s">
        <v>23</v>
      </c>
      <c r="I7" s="91">
        <v>244650</v>
      </c>
      <c r="J7" s="146">
        <v>64336</v>
      </c>
      <c r="K7">
        <v>6</v>
      </c>
    </row>
    <row r="8" ht="15.75" customHeight="1" spans="1:10">
      <c r="A8" s="114" t="s">
        <v>24</v>
      </c>
      <c r="B8" s="44">
        <v>35250</v>
      </c>
      <c r="C8" s="44">
        <v>35250</v>
      </c>
      <c r="D8" s="63" t="s">
        <v>25</v>
      </c>
      <c r="E8" s="91">
        <v>14581</v>
      </c>
      <c r="F8" s="91">
        <f>支出调整计算!C7</f>
        <v>11527</v>
      </c>
      <c r="G8" s="112">
        <v>1042</v>
      </c>
      <c r="H8" s="115" t="s">
        <v>26</v>
      </c>
      <c r="I8" s="112">
        <v>2400</v>
      </c>
      <c r="J8" s="146">
        <v>1000</v>
      </c>
    </row>
    <row r="9" ht="15.75" customHeight="1" spans="1:10">
      <c r="A9" s="114" t="s">
        <v>27</v>
      </c>
      <c r="B9" s="44"/>
      <c r="C9" s="44">
        <f>收入调整!D14</f>
        <v>0</v>
      </c>
      <c r="D9" s="63" t="s">
        <v>28</v>
      </c>
      <c r="E9" s="91">
        <v>110362</v>
      </c>
      <c r="F9" s="91">
        <f>支出调整计算!C8</f>
        <v>89867</v>
      </c>
      <c r="G9" s="112">
        <v>2237</v>
      </c>
      <c r="H9" s="115" t="s">
        <v>29</v>
      </c>
      <c r="I9" s="112">
        <v>900</v>
      </c>
      <c r="J9" s="146">
        <v>974</v>
      </c>
    </row>
    <row r="10" ht="15.75" customHeight="1" spans="1:10">
      <c r="A10" s="114" t="s">
        <v>30</v>
      </c>
      <c r="B10" s="44"/>
      <c r="C10" s="44">
        <f>收入调整!D15</f>
        <v>0</v>
      </c>
      <c r="D10" s="63" t="s">
        <v>31</v>
      </c>
      <c r="E10" s="91">
        <v>2955</v>
      </c>
      <c r="F10" s="91">
        <f>支出调整计算!C9</f>
        <v>2776</v>
      </c>
      <c r="G10" s="112">
        <v>200</v>
      </c>
      <c r="H10" s="115" t="s">
        <v>32</v>
      </c>
      <c r="I10" s="112">
        <v>120</v>
      </c>
      <c r="J10" s="146">
        <v>150</v>
      </c>
    </row>
    <row r="11" ht="15.75" customHeight="1" spans="1:10">
      <c r="A11" s="114" t="s">
        <v>33</v>
      </c>
      <c r="B11" s="43">
        <v>14600</v>
      </c>
      <c r="C11" s="44">
        <v>14600</v>
      </c>
      <c r="D11" s="63" t="s">
        <v>34</v>
      </c>
      <c r="E11" s="91">
        <v>4008</v>
      </c>
      <c r="F11" s="91">
        <f>支出调整计算!C10</f>
        <v>3178</v>
      </c>
      <c r="G11" s="116">
        <v>980</v>
      </c>
      <c r="H11" s="115" t="s">
        <v>35</v>
      </c>
      <c r="I11" s="91">
        <v>330</v>
      </c>
      <c r="J11" s="146">
        <v>330</v>
      </c>
    </row>
    <row r="12" ht="15.75" customHeight="1" spans="1:10">
      <c r="A12" s="114" t="s">
        <v>36</v>
      </c>
      <c r="B12" s="44">
        <v>7880</v>
      </c>
      <c r="C12" s="44">
        <v>7880</v>
      </c>
      <c r="D12" s="63" t="s">
        <v>37</v>
      </c>
      <c r="E12" s="91">
        <v>38291</v>
      </c>
      <c r="F12" s="91">
        <f>支出调整计算!C11</f>
        <v>37123</v>
      </c>
      <c r="G12" s="112">
        <v>23967</v>
      </c>
      <c r="H12" s="115" t="s">
        <v>38</v>
      </c>
      <c r="I12" s="91"/>
      <c r="J12" s="146">
        <f>收入调整!D38</f>
        <v>393</v>
      </c>
    </row>
    <row r="13" ht="15.75" customHeight="1" spans="1:10">
      <c r="A13" s="114" t="s">
        <v>39</v>
      </c>
      <c r="B13" s="44">
        <v>30100</v>
      </c>
      <c r="C13" s="44">
        <v>30100</v>
      </c>
      <c r="D13" s="63" t="s">
        <v>40</v>
      </c>
      <c r="E13" s="91">
        <v>27631</v>
      </c>
      <c r="F13" s="91">
        <f>支出调整计算!C12</f>
        <v>32506</v>
      </c>
      <c r="G13" s="112">
        <v>3093</v>
      </c>
      <c r="H13" s="117" t="s">
        <v>41</v>
      </c>
      <c r="I13" s="49"/>
      <c r="J13" s="147">
        <f>546+2272+839+268+86+5</f>
        <v>4016</v>
      </c>
    </row>
    <row r="14" ht="15.75" customHeight="1" spans="1:10">
      <c r="A14" s="114" t="s">
        <v>42</v>
      </c>
      <c r="B14" s="43">
        <v>7770</v>
      </c>
      <c r="C14" s="44">
        <v>7770</v>
      </c>
      <c r="D14" s="63" t="s">
        <v>43</v>
      </c>
      <c r="E14" s="91">
        <v>3650</v>
      </c>
      <c r="F14" s="91">
        <f>支出调整计算!C13</f>
        <v>9455</v>
      </c>
      <c r="G14" s="112">
        <v>5000</v>
      </c>
      <c r="H14" s="117" t="s">
        <v>44</v>
      </c>
      <c r="I14" s="49"/>
      <c r="J14" s="147">
        <v>32954</v>
      </c>
    </row>
    <row r="15" ht="15.75" customHeight="1" spans="1:10">
      <c r="A15" s="110" t="s">
        <v>45</v>
      </c>
      <c r="B15" s="54">
        <f>SUM(B16,B18:B21,B22,B24,B23)</f>
        <v>42300</v>
      </c>
      <c r="C15" s="54">
        <f>SUM(C16,C18:C21,C22,C23,C24)</f>
        <v>42300</v>
      </c>
      <c r="D15" s="63" t="s">
        <v>46</v>
      </c>
      <c r="E15" s="91">
        <v>8533</v>
      </c>
      <c r="F15" s="91">
        <f>支出调整计算!C14</f>
        <v>13830</v>
      </c>
      <c r="G15" s="112">
        <v>1000</v>
      </c>
      <c r="H15" s="117" t="s">
        <v>47</v>
      </c>
      <c r="I15" s="90">
        <f>SUM(I6,I13)</f>
        <v>248400</v>
      </c>
      <c r="J15" s="90">
        <f>SUM(J6,J14,J13)</f>
        <v>104153</v>
      </c>
    </row>
    <row r="16" ht="15.75" customHeight="1" spans="1:12">
      <c r="A16" s="118" t="s">
        <v>48</v>
      </c>
      <c r="B16" s="43">
        <v>12100</v>
      </c>
      <c r="C16" s="43">
        <v>12100</v>
      </c>
      <c r="D16" s="63" t="s">
        <v>49</v>
      </c>
      <c r="E16" s="91">
        <v>19736</v>
      </c>
      <c r="F16" s="91">
        <f>支出调整计算!C15</f>
        <v>17051</v>
      </c>
      <c r="G16" s="112">
        <v>5305</v>
      </c>
      <c r="H16" s="117"/>
      <c r="I16" s="90"/>
      <c r="J16" s="90"/>
      <c r="L16" s="97"/>
    </row>
    <row r="17" ht="15.75" customHeight="1" spans="1:12">
      <c r="A17" s="100" t="s">
        <v>50</v>
      </c>
      <c r="B17" s="43">
        <v>2300</v>
      </c>
      <c r="C17" s="43">
        <v>2300</v>
      </c>
      <c r="D17" s="57" t="s">
        <v>51</v>
      </c>
      <c r="E17" s="91">
        <v>3555</v>
      </c>
      <c r="F17" s="91">
        <f>支出调整计算!C16</f>
        <v>4533</v>
      </c>
      <c r="G17" s="112">
        <v>3860</v>
      </c>
      <c r="H17" s="119" t="s">
        <v>52</v>
      </c>
      <c r="I17" s="145" t="s">
        <v>16</v>
      </c>
      <c r="J17" s="145" t="s">
        <v>17</v>
      </c>
      <c r="L17" s="97"/>
    </row>
    <row r="18" ht="15.75" customHeight="1" spans="1:12">
      <c r="A18" s="100" t="s">
        <v>53</v>
      </c>
      <c r="B18" s="43">
        <v>4300</v>
      </c>
      <c r="C18" s="43">
        <v>4300</v>
      </c>
      <c r="D18" s="57" t="s">
        <v>54</v>
      </c>
      <c r="E18" s="91">
        <v>18710</v>
      </c>
      <c r="F18" s="91">
        <f>支出调整计算!C17</f>
        <v>6072</v>
      </c>
      <c r="G18" s="112"/>
      <c r="H18" s="113" t="s">
        <v>55</v>
      </c>
      <c r="I18" s="90">
        <f>SUM(I19:I20,I22:I26)</f>
        <v>248400</v>
      </c>
      <c r="J18" s="90">
        <f>SUM(J19:J20,J22:J27)</f>
        <v>104153</v>
      </c>
      <c r="L18" s="97">
        <f>J18-I18</f>
        <v>-144247</v>
      </c>
    </row>
    <row r="19" ht="15.75" customHeight="1" spans="1:12">
      <c r="A19" s="100" t="s">
        <v>56</v>
      </c>
      <c r="B19" s="44">
        <v>2700</v>
      </c>
      <c r="C19" s="43">
        <v>2700</v>
      </c>
      <c r="D19" s="57" t="s">
        <v>57</v>
      </c>
      <c r="E19" s="91">
        <v>577</v>
      </c>
      <c r="F19" s="91">
        <f>支出调整计算!C18</f>
        <v>495</v>
      </c>
      <c r="G19" s="112"/>
      <c r="H19" s="115" t="s">
        <v>58</v>
      </c>
      <c r="I19" s="91">
        <v>3300</v>
      </c>
      <c r="J19" s="91">
        <v>3874</v>
      </c>
      <c r="L19" s="97">
        <f t="shared" ref="L19:L27" si="0">J19-I19</f>
        <v>574</v>
      </c>
    </row>
    <row r="20" ht="15.75" customHeight="1" spans="1:12">
      <c r="A20" s="100" t="s">
        <v>59</v>
      </c>
      <c r="B20" s="44">
        <v>2000</v>
      </c>
      <c r="C20" s="43">
        <v>2000</v>
      </c>
      <c r="D20" s="120" t="s">
        <v>60</v>
      </c>
      <c r="E20" s="91">
        <v>4230</v>
      </c>
      <c r="F20" s="91">
        <f>支出调整计算!C19</f>
        <v>2227</v>
      </c>
      <c r="G20" s="112">
        <v>3000</v>
      </c>
      <c r="H20" s="115" t="s">
        <v>61</v>
      </c>
      <c r="I20" s="91">
        <v>241350</v>
      </c>
      <c r="J20" s="91">
        <f>60462+546+2272</f>
        <v>63280</v>
      </c>
      <c r="L20" s="97">
        <f t="shared" si="0"/>
        <v>-178070</v>
      </c>
    </row>
    <row r="21" ht="15.75" customHeight="1" spans="1:12">
      <c r="A21" s="100" t="s">
        <v>62</v>
      </c>
      <c r="B21" s="44">
        <v>2600</v>
      </c>
      <c r="C21" s="43">
        <v>2600</v>
      </c>
      <c r="D21" s="120" t="s">
        <v>63</v>
      </c>
      <c r="E21" s="91">
        <v>200</v>
      </c>
      <c r="F21" s="91">
        <f>支出调整计算!C20</f>
        <v>0</v>
      </c>
      <c r="G21" s="112">
        <v>500</v>
      </c>
      <c r="H21" s="115" t="s">
        <v>64</v>
      </c>
      <c r="I21" s="43">
        <v>175151</v>
      </c>
      <c r="J21" s="91">
        <v>53128</v>
      </c>
      <c r="L21" s="97">
        <f t="shared" si="0"/>
        <v>-122023</v>
      </c>
    </row>
    <row r="22" ht="15.75" customHeight="1" spans="1:12">
      <c r="A22" s="100" t="s">
        <v>65</v>
      </c>
      <c r="B22" s="44">
        <v>60</v>
      </c>
      <c r="C22" s="43">
        <v>60</v>
      </c>
      <c r="D22" s="120" t="s">
        <v>66</v>
      </c>
      <c r="E22" s="91">
        <v>2180</v>
      </c>
      <c r="F22" s="91">
        <f>支出调整计算!C21</f>
        <v>1723</v>
      </c>
      <c r="G22" s="112"/>
      <c r="H22" s="115" t="s">
        <v>67</v>
      </c>
      <c r="I22" s="43">
        <v>2400</v>
      </c>
      <c r="J22" s="91">
        <f>J8+839</f>
        <v>1839</v>
      </c>
      <c r="L22" s="97">
        <f t="shared" si="0"/>
        <v>-561</v>
      </c>
    </row>
    <row r="23" ht="15.75" customHeight="1" spans="1:12">
      <c r="A23" s="100" t="s">
        <v>68</v>
      </c>
      <c r="B23" s="44">
        <v>1100</v>
      </c>
      <c r="C23" s="43">
        <v>1100</v>
      </c>
      <c r="D23" s="93" t="s">
        <v>69</v>
      </c>
      <c r="E23" s="91">
        <v>3507</v>
      </c>
      <c r="F23" s="91">
        <f>支出调整计算!C22</f>
        <v>2732</v>
      </c>
      <c r="G23" s="112"/>
      <c r="H23" s="115" t="s">
        <v>70</v>
      </c>
      <c r="I23" s="43">
        <v>900</v>
      </c>
      <c r="J23" s="91">
        <f>J9+268</f>
        <v>1242</v>
      </c>
      <c r="L23" s="97">
        <f t="shared" si="0"/>
        <v>342</v>
      </c>
    </row>
    <row r="24" ht="15.75" customHeight="1" spans="1:12">
      <c r="A24" s="100" t="s">
        <v>71</v>
      </c>
      <c r="B24" s="43">
        <v>17440</v>
      </c>
      <c r="C24" s="43">
        <v>17440</v>
      </c>
      <c r="D24" s="94" t="s">
        <v>72</v>
      </c>
      <c r="E24" s="91">
        <v>16244</v>
      </c>
      <c r="F24" s="91">
        <f>支出调整计算!C23</f>
        <v>16244</v>
      </c>
      <c r="G24" s="112"/>
      <c r="H24" s="115" t="s">
        <v>73</v>
      </c>
      <c r="I24" s="43">
        <v>120</v>
      </c>
      <c r="J24" s="91">
        <f>J10+86</f>
        <v>236</v>
      </c>
      <c r="L24" s="97">
        <f t="shared" si="0"/>
        <v>116</v>
      </c>
    </row>
    <row r="25" ht="15.75" customHeight="1" spans="1:12">
      <c r="A25" s="121" t="s">
        <v>74</v>
      </c>
      <c r="B25" s="49">
        <f>SUM(B26:B27)</f>
        <v>56797</v>
      </c>
      <c r="C25" s="49">
        <f>SUM(C26:C27)</f>
        <v>76151</v>
      </c>
      <c r="D25" s="94" t="s">
        <v>75</v>
      </c>
      <c r="E25" s="91">
        <v>5000</v>
      </c>
      <c r="F25" s="91">
        <f>支出调整计算!C24</f>
        <v>3860</v>
      </c>
      <c r="G25" s="112"/>
      <c r="H25" s="115" t="s">
        <v>76</v>
      </c>
      <c r="I25" s="43">
        <v>330</v>
      </c>
      <c r="J25" s="91">
        <f>J11+5</f>
        <v>335</v>
      </c>
      <c r="L25" s="97">
        <f>J26-I26</f>
        <v>393</v>
      </c>
    </row>
    <row r="26" ht="15.75" customHeight="1" spans="1:12">
      <c r="A26" s="100" t="s">
        <v>77</v>
      </c>
      <c r="B26" s="43">
        <v>10690</v>
      </c>
      <c r="C26" s="43">
        <v>10690</v>
      </c>
      <c r="D26" s="94" t="s">
        <v>78</v>
      </c>
      <c r="E26" s="43">
        <v>5000</v>
      </c>
      <c r="F26" s="91">
        <v>0</v>
      </c>
      <c r="G26" s="112"/>
      <c r="H26" s="115" t="s">
        <v>79</v>
      </c>
      <c r="I26" s="43"/>
      <c r="J26" s="91">
        <v>393</v>
      </c>
      <c r="L26" s="97">
        <f>J27-I27</f>
        <v>32954</v>
      </c>
    </row>
    <row r="27" ht="15.75" customHeight="1" spans="1:12">
      <c r="A27" s="100" t="s">
        <v>80</v>
      </c>
      <c r="B27" s="43">
        <v>46107</v>
      </c>
      <c r="C27" s="43">
        <f>7+65454</f>
        <v>65461</v>
      </c>
      <c r="D27" s="121" t="s">
        <v>81</v>
      </c>
      <c r="E27" s="107">
        <v>8800</v>
      </c>
      <c r="F27" s="107">
        <f>SUM(F28:F29)</f>
        <v>8800</v>
      </c>
      <c r="G27" s="112"/>
      <c r="H27" s="115" t="s">
        <v>82</v>
      </c>
      <c r="I27" s="43"/>
      <c r="J27" s="91">
        <v>32954</v>
      </c>
      <c r="L27" s="97" t="e">
        <f>#REF!-#REF!</f>
        <v>#REF!</v>
      </c>
    </row>
    <row r="28" ht="15.75" customHeight="1" spans="1:10">
      <c r="A28" s="122" t="s">
        <v>83</v>
      </c>
      <c r="B28" s="49"/>
      <c r="C28" s="49">
        <v>18095</v>
      </c>
      <c r="D28" s="123" t="s">
        <v>84</v>
      </c>
      <c r="E28" s="124">
        <v>3403</v>
      </c>
      <c r="F28" s="124">
        <v>3403</v>
      </c>
      <c r="G28" s="91"/>
      <c r="H28" s="109" t="s">
        <v>85</v>
      </c>
      <c r="I28" s="143"/>
      <c r="J28" s="144"/>
    </row>
    <row r="29" ht="15.75" customHeight="1" spans="1:10">
      <c r="A29" s="122" t="s">
        <v>86</v>
      </c>
      <c r="B29" s="107"/>
      <c r="C29" s="107">
        <v>10545</v>
      </c>
      <c r="D29" s="123" t="s">
        <v>87</v>
      </c>
      <c r="E29" s="124">
        <v>5397</v>
      </c>
      <c r="F29" s="124">
        <v>5397</v>
      </c>
      <c r="G29" s="91"/>
      <c r="H29" s="119" t="s">
        <v>88</v>
      </c>
      <c r="I29" s="145" t="s">
        <v>16</v>
      </c>
      <c r="J29" s="145" t="s">
        <v>17</v>
      </c>
    </row>
    <row r="30" ht="15.75" customHeight="1" spans="1:10">
      <c r="A30" s="125" t="s">
        <v>89</v>
      </c>
      <c r="B30" s="124"/>
      <c r="C30" s="126">
        <v>14250</v>
      </c>
      <c r="D30" s="121" t="s">
        <v>90</v>
      </c>
      <c r="E30" s="126"/>
      <c r="F30" s="126"/>
      <c r="G30" s="90"/>
      <c r="H30" s="117" t="s">
        <v>91</v>
      </c>
      <c r="I30" s="148">
        <v>152</v>
      </c>
      <c r="J30" s="148">
        <v>221</v>
      </c>
    </row>
    <row r="31" ht="15.75" customHeight="1" spans="1:10">
      <c r="A31" s="125" t="s">
        <v>92</v>
      </c>
      <c r="B31" s="126">
        <v>175303</v>
      </c>
      <c r="C31" s="126">
        <v>53349</v>
      </c>
      <c r="D31" s="127" t="s">
        <v>93</v>
      </c>
      <c r="E31" s="127">
        <v>40556</v>
      </c>
      <c r="F31" s="127">
        <v>20278</v>
      </c>
      <c r="G31" s="127"/>
      <c r="H31" s="117" t="s">
        <v>94</v>
      </c>
      <c r="I31" s="148"/>
      <c r="J31" s="149"/>
    </row>
    <row r="32" ht="15.75" customHeight="1" spans="1:10">
      <c r="A32" s="128" t="s">
        <v>95</v>
      </c>
      <c r="B32" s="49">
        <v>50215</v>
      </c>
      <c r="C32" s="90">
        <v>50215</v>
      </c>
      <c r="D32" s="129"/>
      <c r="E32" s="127"/>
      <c r="F32" s="127"/>
      <c r="G32" s="129"/>
      <c r="H32" s="117" t="s">
        <v>96</v>
      </c>
      <c r="I32" s="148">
        <v>152</v>
      </c>
      <c r="J32" s="149">
        <v>221</v>
      </c>
    </row>
    <row r="33" ht="15.75" customHeight="1" spans="1:10">
      <c r="A33" s="128"/>
      <c r="B33" s="49"/>
      <c r="C33" s="49"/>
      <c r="D33" s="130" t="s">
        <v>97</v>
      </c>
      <c r="E33" s="90"/>
      <c r="F33" s="91"/>
      <c r="G33" s="131"/>
      <c r="H33" s="109" t="s">
        <v>98</v>
      </c>
      <c r="I33" s="143"/>
      <c r="J33" s="144"/>
    </row>
    <row r="34" ht="15.75" customHeight="1" spans="1:10">
      <c r="A34" s="125" t="s">
        <v>99</v>
      </c>
      <c r="B34" s="126">
        <f>SUM(B35:B38)</f>
        <v>74400</v>
      </c>
      <c r="C34" s="126">
        <f>SUM(C35:C38)</f>
        <v>74400</v>
      </c>
      <c r="D34" s="132" t="s">
        <v>100</v>
      </c>
      <c r="E34" s="90">
        <f>SUM(E35:E36)</f>
        <v>212300</v>
      </c>
      <c r="F34" s="90">
        <f>SUM(F35:F36)</f>
        <v>202670</v>
      </c>
      <c r="G34" s="90"/>
      <c r="H34" s="119" t="s">
        <v>88</v>
      </c>
      <c r="I34" s="145" t="s">
        <v>16</v>
      </c>
      <c r="J34" s="145" t="s">
        <v>17</v>
      </c>
    </row>
    <row r="35" ht="15.75" customHeight="1" spans="1:10">
      <c r="A35" s="133" t="s">
        <v>101</v>
      </c>
      <c r="B35" s="124">
        <f>B8</f>
        <v>35250</v>
      </c>
      <c r="C35" s="124">
        <v>35250</v>
      </c>
      <c r="D35" s="134" t="s">
        <v>102</v>
      </c>
      <c r="E35" s="91">
        <v>172300</v>
      </c>
      <c r="F35" s="91">
        <f>收入调整!D6</f>
        <v>142370</v>
      </c>
      <c r="G35" s="91"/>
      <c r="H35" s="117" t="s">
        <v>103</v>
      </c>
      <c r="I35" s="150">
        <v>60431</v>
      </c>
      <c r="J35" s="125">
        <v>60431</v>
      </c>
    </row>
    <row r="36" ht="15.75" customHeight="1" spans="1:10">
      <c r="A36" s="133" t="s">
        <v>104</v>
      </c>
      <c r="B36" s="43">
        <v>75</v>
      </c>
      <c r="C36" s="43">
        <v>75</v>
      </c>
      <c r="D36" s="134" t="s">
        <v>105</v>
      </c>
      <c r="E36" s="135">
        <v>40000</v>
      </c>
      <c r="F36" s="91">
        <f>收入调整!D7</f>
        <v>60300</v>
      </c>
      <c r="G36" s="136"/>
      <c r="H36" s="115" t="s">
        <v>106</v>
      </c>
      <c r="I36" s="151">
        <v>22025</v>
      </c>
      <c r="J36" s="100">
        <v>22025</v>
      </c>
    </row>
    <row r="37" ht="15.75" customHeight="1" spans="1:10">
      <c r="A37" s="133" t="s">
        <v>107</v>
      </c>
      <c r="B37" s="43">
        <f>(B11+B12)*1.5</f>
        <v>33720</v>
      </c>
      <c r="C37" s="43">
        <v>33720</v>
      </c>
      <c r="D37" s="137" t="s">
        <v>108</v>
      </c>
      <c r="E37" s="107">
        <f>SUM(E38:E40)</f>
        <v>137900</v>
      </c>
      <c r="F37" s="107">
        <f>SUM(F38:F40)</f>
        <v>137900</v>
      </c>
      <c r="G37" s="107">
        <f>SUM(G38:G40)</f>
        <v>0</v>
      </c>
      <c r="H37" s="115" t="s">
        <v>109</v>
      </c>
      <c r="I37" s="151">
        <v>33311</v>
      </c>
      <c r="J37" s="100">
        <v>33311</v>
      </c>
    </row>
    <row r="38" ht="15.75" customHeight="1" spans="1:10">
      <c r="A38" s="133" t="s">
        <v>110</v>
      </c>
      <c r="B38" s="43">
        <v>5355</v>
      </c>
      <c r="C38" s="43">
        <v>5355</v>
      </c>
      <c r="D38" s="134" t="s">
        <v>102</v>
      </c>
      <c r="E38" s="124">
        <v>97900</v>
      </c>
      <c r="F38" s="124">
        <f>收入调整!D9</f>
        <v>77600</v>
      </c>
      <c r="G38" s="124"/>
      <c r="H38" s="117" t="s">
        <v>111</v>
      </c>
      <c r="I38" s="49">
        <v>50976</v>
      </c>
      <c r="J38" s="125">
        <v>50976</v>
      </c>
    </row>
    <row r="39" customHeight="1" spans="1:10">
      <c r="A39" s="125" t="s">
        <v>112</v>
      </c>
      <c r="B39" s="90">
        <f>SUM(B5+B34)</f>
        <v>212300</v>
      </c>
      <c r="C39" s="90">
        <f>SUM(C5+C34)</f>
        <v>212300</v>
      </c>
      <c r="D39" s="134" t="s">
        <v>105</v>
      </c>
      <c r="E39" s="124">
        <v>40000</v>
      </c>
      <c r="F39" s="124">
        <f>收入调整!D10</f>
        <v>60300</v>
      </c>
      <c r="G39" s="124"/>
      <c r="H39" s="117" t="s">
        <v>113</v>
      </c>
      <c r="I39" s="108">
        <v>9455</v>
      </c>
      <c r="J39" s="125">
        <v>9455</v>
      </c>
    </row>
    <row r="40" customHeight="1" spans="1:10">
      <c r="A40" s="100" t="s">
        <v>114</v>
      </c>
      <c r="B40" s="43"/>
      <c r="C40" s="43">
        <f>1913+318+6+962+36+6+100</f>
        <v>3341</v>
      </c>
      <c r="D40" s="134"/>
      <c r="E40" s="124"/>
      <c r="F40" s="124"/>
      <c r="G40" s="124"/>
      <c r="H40" s="138"/>
      <c r="I40" s="152"/>
      <c r="J40" s="153"/>
    </row>
    <row r="41" customHeight="1" spans="1:10">
      <c r="A41" s="100" t="s">
        <v>115</v>
      </c>
      <c r="B41" s="43"/>
      <c r="C41" s="43"/>
      <c r="H41" s="138"/>
      <c r="I41" s="152"/>
      <c r="J41" s="153"/>
    </row>
    <row r="42" customHeight="1" spans="1:10">
      <c r="A42" s="100" t="s">
        <v>116</v>
      </c>
      <c r="B42" s="49"/>
      <c r="C42" s="49">
        <v>6300</v>
      </c>
      <c r="H42" s="138"/>
      <c r="I42" s="152"/>
      <c r="J42" s="153"/>
    </row>
    <row r="43" spans="2:10">
      <c r="B43" s="49"/>
      <c r="C43" s="49">
        <v>1640</v>
      </c>
      <c r="H43" s="138"/>
      <c r="I43" s="152"/>
      <c r="J43" s="153"/>
    </row>
    <row r="44" spans="2:10">
      <c r="B44" s="107"/>
      <c r="C44" s="107">
        <f>8624+294</f>
        <v>8918</v>
      </c>
      <c r="H44" s="138"/>
      <c r="I44" s="152"/>
      <c r="J44" s="153"/>
    </row>
    <row r="45" spans="1:10">
      <c r="A45" t="s">
        <v>117</v>
      </c>
      <c r="B45" s="43">
        <f>SUM(B46:B47)</f>
        <v>12300</v>
      </c>
      <c r="C45" s="139" t="e">
        <f>SUM(C46:C47)</f>
        <v>#REF!</v>
      </c>
      <c r="H45" s="140"/>
      <c r="I45" s="154"/>
      <c r="J45" s="155"/>
    </row>
    <row r="46" spans="2:10">
      <c r="B46" s="43">
        <v>6800</v>
      </c>
      <c r="C46" s="43">
        <f>收入调整!D21</f>
        <v>3950</v>
      </c>
      <c r="H46" s="141"/>
      <c r="I46" s="156"/>
      <c r="J46" s="157"/>
    </row>
    <row r="47" spans="2:10">
      <c r="B47" s="43">
        <v>5500</v>
      </c>
      <c r="C47" s="32" t="e">
        <f>收入调整!#REF!</f>
        <v>#REF!</v>
      </c>
      <c r="H47" s="141"/>
      <c r="I47" s="156"/>
      <c r="J47" s="157"/>
    </row>
    <row r="48" spans="8:10">
      <c r="H48" s="141"/>
      <c r="I48" s="156"/>
      <c r="J48" s="157"/>
    </row>
  </sheetData>
  <mergeCells count="4">
    <mergeCell ref="A1:J1"/>
    <mergeCell ref="H4:J4"/>
    <mergeCell ref="H28:J28"/>
    <mergeCell ref="H33:J33"/>
  </mergeCells>
  <pageMargins left="0.393055555555556" right="0" top="0.393055555555556" bottom="0.196527777777778" header="0.511805555555556" footer="0.511805555555556"/>
  <pageSetup paperSize="9" scale="82" orientation="landscape" horizontalDpi="1200" verticalDpi="12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S44"/>
  <sheetViews>
    <sheetView showZeros="0" workbookViewId="0">
      <selection activeCell="G21" sqref="G21"/>
    </sheetView>
  </sheetViews>
  <sheetFormatPr defaultColWidth="9" defaultRowHeight="14.25"/>
  <cols>
    <col min="1" max="1" width="30.5" customWidth="1"/>
    <col min="2" max="2" width="14" customWidth="1"/>
    <col min="3" max="3" width="13.5" customWidth="1"/>
    <col min="4" max="4" width="13.125" customWidth="1"/>
    <col min="5" max="5" width="14.875" customWidth="1"/>
    <col min="6" max="6" width="15.125" customWidth="1"/>
    <col min="7" max="7" width="23.625" customWidth="1"/>
    <col min="8" max="9" width="10.875" customWidth="1"/>
    <col min="10" max="10" width="11" customWidth="1"/>
    <col min="12" max="12" width="9.375"/>
    <col min="16" max="16" width="20.875" customWidth="1"/>
    <col min="18" max="18" width="14.875" customWidth="1"/>
  </cols>
  <sheetData>
    <row r="1" ht="24" customHeight="1" spans="1:14">
      <c r="A1" s="87" t="s">
        <v>118</v>
      </c>
      <c r="B1" s="87"/>
      <c r="C1" s="87"/>
      <c r="D1" s="87"/>
      <c r="E1" s="87"/>
      <c r="F1" s="87"/>
      <c r="G1" s="87"/>
      <c r="H1" s="87"/>
      <c r="I1" s="87"/>
      <c r="J1" s="87"/>
      <c r="K1" s="99"/>
      <c r="L1" s="99"/>
      <c r="M1" s="99"/>
      <c r="N1" s="99"/>
    </row>
    <row r="2" ht="18" customHeight="1" spans="1:10">
      <c r="A2" t="s">
        <v>1</v>
      </c>
      <c r="J2" t="s">
        <v>119</v>
      </c>
    </row>
    <row r="3" ht="29.25" customHeight="1" spans="1:10">
      <c r="A3" s="88" t="s">
        <v>120</v>
      </c>
      <c r="B3" s="88" t="s">
        <v>16</v>
      </c>
      <c r="C3" s="88" t="s">
        <v>17</v>
      </c>
      <c r="D3" s="88" t="s">
        <v>121</v>
      </c>
      <c r="E3" s="89" t="s">
        <v>122</v>
      </c>
      <c r="F3" s="89" t="s">
        <v>123</v>
      </c>
      <c r="G3" s="89" t="s">
        <v>124</v>
      </c>
      <c r="H3" s="89" t="s">
        <v>125</v>
      </c>
      <c r="I3" s="89" t="s">
        <v>126</v>
      </c>
      <c r="J3" s="43" t="s">
        <v>127</v>
      </c>
    </row>
    <row r="4" ht="20.25" customHeight="1" spans="1:19">
      <c r="A4" s="53" t="s">
        <v>128</v>
      </c>
      <c r="B4" s="90">
        <f>SUM(B5:B24)</f>
        <v>320644</v>
      </c>
      <c r="C4" s="90">
        <f>SUM(C5:C24)</f>
        <v>281212</v>
      </c>
      <c r="D4" s="90">
        <f>SUM(D5,D6:D8,D9:D15,D16:D24)</f>
        <v>-39432</v>
      </c>
      <c r="E4" s="90">
        <f>SUM(E5,E6:E8,E9:E15,E16:E24)</f>
        <v>14250</v>
      </c>
      <c r="F4" s="90">
        <f>SUM(F5,F6:F8,F9:F15,F16:F24)</f>
        <v>17035.8</v>
      </c>
      <c r="G4" s="90">
        <f>SUM(G5,G6:G8,G9:G15,G16:G24)</f>
        <v>18095</v>
      </c>
      <c r="H4" s="90">
        <f>SUM(H5:H24)</f>
        <v>-26033.8</v>
      </c>
      <c r="I4" s="90">
        <f>SUM(I5:I24)</f>
        <v>-62779</v>
      </c>
      <c r="J4" s="100"/>
      <c r="L4">
        <f>C4-G4</f>
        <v>263117</v>
      </c>
      <c r="P4" t="s">
        <v>129</v>
      </c>
      <c r="Q4">
        <v>27996</v>
      </c>
      <c r="R4" t="s">
        <v>130</v>
      </c>
      <c r="S4">
        <v>37856</v>
      </c>
    </row>
    <row r="5" ht="20.25" customHeight="1" spans="1:19">
      <c r="A5" s="60" t="s">
        <v>130</v>
      </c>
      <c r="B5" s="91">
        <f>总表!E6</f>
        <v>36276</v>
      </c>
      <c r="C5" s="91">
        <f>SUM(B5,D5)</f>
        <v>25512.2</v>
      </c>
      <c r="D5" s="91">
        <f>SUM(E5:I5)</f>
        <v>-10763.8</v>
      </c>
      <c r="E5" s="91">
        <f>专项调整!E7</f>
        <v>662</v>
      </c>
      <c r="F5" s="91">
        <f>专项调整!F7</f>
        <v>924</v>
      </c>
      <c r="G5" s="91">
        <f>专项调整!G7</f>
        <v>0</v>
      </c>
      <c r="H5" s="91">
        <f>-4356+2.2</f>
        <v>-4353.8</v>
      </c>
      <c r="I5" s="91">
        <v>-7996</v>
      </c>
      <c r="J5" s="100"/>
      <c r="L5">
        <f t="shared" ref="L5:L24" si="0">C5-G5</f>
        <v>25512.2</v>
      </c>
      <c r="P5" t="s">
        <v>131</v>
      </c>
      <c r="Q5">
        <v>187</v>
      </c>
      <c r="R5" t="s">
        <v>132</v>
      </c>
      <c r="S5">
        <v>533.8</v>
      </c>
    </row>
    <row r="6" ht="20.25" customHeight="1" spans="1:19">
      <c r="A6" s="60" t="s">
        <v>132</v>
      </c>
      <c r="B6" s="91">
        <f>总表!E7</f>
        <v>418</v>
      </c>
      <c r="C6" s="91">
        <f t="shared" ref="C6:C24" si="1">SUM(B6,D6)</f>
        <v>500.8</v>
      </c>
      <c r="D6" s="91">
        <f t="shared" ref="D6:D24" si="2">SUM(E6:I6)</f>
        <v>82.8</v>
      </c>
      <c r="E6" s="91">
        <f>专项调整!E13</f>
        <v>0</v>
      </c>
      <c r="F6" s="91">
        <f>专项调整!F13</f>
        <v>115.8</v>
      </c>
      <c r="G6" s="91">
        <f>专项调整!G13</f>
        <v>0</v>
      </c>
      <c r="H6" s="91"/>
      <c r="I6" s="91">
        <v>-33</v>
      </c>
      <c r="J6" s="100"/>
      <c r="L6">
        <v>534</v>
      </c>
      <c r="P6" t="s">
        <v>133</v>
      </c>
      <c r="Q6">
        <v>13730</v>
      </c>
      <c r="R6" t="s">
        <v>134</v>
      </c>
      <c r="S6">
        <v>14779</v>
      </c>
    </row>
    <row r="7" ht="20.25" customHeight="1" spans="1:19">
      <c r="A7" s="61" t="s">
        <v>134</v>
      </c>
      <c r="B7" s="91">
        <f>总表!E8</f>
        <v>14581</v>
      </c>
      <c r="C7" s="91">
        <f t="shared" si="1"/>
        <v>11527</v>
      </c>
      <c r="D7" s="91">
        <f t="shared" si="2"/>
        <v>-3054</v>
      </c>
      <c r="E7" s="91">
        <f>专项调整!E14</f>
        <v>223</v>
      </c>
      <c r="F7" s="91">
        <f>专项调整!F14</f>
        <v>-25</v>
      </c>
      <c r="G7" s="91">
        <f>专项调整!G14</f>
        <v>0</v>
      </c>
      <c r="H7" s="91">
        <v>-1751</v>
      </c>
      <c r="I7" s="91">
        <v>-1501</v>
      </c>
      <c r="J7" s="100"/>
      <c r="L7">
        <f t="shared" si="0"/>
        <v>11527</v>
      </c>
      <c r="P7" t="s">
        <v>135</v>
      </c>
      <c r="Q7">
        <v>105573</v>
      </c>
      <c r="R7" t="s">
        <v>136</v>
      </c>
      <c r="S7">
        <v>120083</v>
      </c>
    </row>
    <row r="8" ht="20.25" customHeight="1" spans="1:19">
      <c r="A8" s="61" t="s">
        <v>136</v>
      </c>
      <c r="B8" s="91">
        <f>总表!E9</f>
        <v>110362</v>
      </c>
      <c r="C8" s="91">
        <f t="shared" si="1"/>
        <v>89867</v>
      </c>
      <c r="D8" s="91">
        <f t="shared" si="2"/>
        <v>-20495</v>
      </c>
      <c r="E8" s="91">
        <f>专项调整!E17</f>
        <v>298</v>
      </c>
      <c r="F8" s="91">
        <f>专项调整!F17</f>
        <v>5673</v>
      </c>
      <c r="G8" s="91">
        <f>专项调整!G17</f>
        <v>3750</v>
      </c>
      <c r="H8" s="91">
        <v>-7322</v>
      </c>
      <c r="I8" s="91">
        <f>-30115+7221</f>
        <v>-22894</v>
      </c>
      <c r="J8" s="100"/>
      <c r="L8">
        <f t="shared" si="0"/>
        <v>86117</v>
      </c>
      <c r="P8" t="s">
        <v>137</v>
      </c>
      <c r="Q8">
        <v>398</v>
      </c>
      <c r="R8" t="s">
        <v>138</v>
      </c>
      <c r="S8">
        <v>2955</v>
      </c>
    </row>
    <row r="9" ht="20.25" customHeight="1" spans="1:19">
      <c r="A9" s="61" t="s">
        <v>138</v>
      </c>
      <c r="B9" s="91">
        <f>总表!E10</f>
        <v>2955</v>
      </c>
      <c r="C9" s="91">
        <f t="shared" si="1"/>
        <v>2776</v>
      </c>
      <c r="D9" s="91">
        <f t="shared" si="2"/>
        <v>-179</v>
      </c>
      <c r="E9" s="91">
        <f>专项调整!E23</f>
        <v>47</v>
      </c>
      <c r="F9" s="91">
        <f>专项调整!F23</f>
        <v>-47</v>
      </c>
      <c r="G9" s="91">
        <f>专项调整!G23</f>
        <v>0</v>
      </c>
      <c r="H9" s="91">
        <v>-60</v>
      </c>
      <c r="I9" s="91">
        <v>-119</v>
      </c>
      <c r="J9" s="100"/>
      <c r="L9">
        <f t="shared" si="0"/>
        <v>2776</v>
      </c>
      <c r="P9" t="s">
        <v>139</v>
      </c>
      <c r="Q9">
        <v>2293</v>
      </c>
      <c r="R9" t="s">
        <v>140</v>
      </c>
      <c r="S9">
        <v>4404</v>
      </c>
    </row>
    <row r="10" ht="20.25" customHeight="1" spans="1:19">
      <c r="A10" s="61" t="s">
        <v>140</v>
      </c>
      <c r="B10" s="91">
        <f>总表!E11</f>
        <v>4008</v>
      </c>
      <c r="C10" s="91">
        <f t="shared" si="1"/>
        <v>3178</v>
      </c>
      <c r="D10" s="91">
        <f t="shared" si="2"/>
        <v>-830</v>
      </c>
      <c r="E10" s="91">
        <f>专项调整!E24</f>
        <v>60</v>
      </c>
      <c r="F10" s="91">
        <f>专项调整!F24</f>
        <v>26</v>
      </c>
      <c r="G10" s="91">
        <f>专项调整!G24</f>
        <v>310</v>
      </c>
      <c r="H10" s="91">
        <f>-586+60</f>
        <v>-526</v>
      </c>
      <c r="I10" s="91">
        <v>-700</v>
      </c>
      <c r="J10" s="100"/>
      <c r="L10">
        <f t="shared" si="0"/>
        <v>2868</v>
      </c>
      <c r="P10" t="s">
        <v>141</v>
      </c>
      <c r="Q10">
        <v>2036</v>
      </c>
      <c r="R10" t="s">
        <v>142</v>
      </c>
      <c r="S10">
        <v>37767</v>
      </c>
    </row>
    <row r="11" ht="20.25" customHeight="1" spans="1:19">
      <c r="A11" s="61" t="s">
        <v>142</v>
      </c>
      <c r="B11" s="91">
        <f>总表!E12</f>
        <v>38291</v>
      </c>
      <c r="C11" s="91">
        <f t="shared" si="1"/>
        <v>37123</v>
      </c>
      <c r="D11" s="91">
        <f t="shared" si="2"/>
        <v>-1168</v>
      </c>
      <c r="E11" s="91">
        <f>专项调整!E29</f>
        <v>1369</v>
      </c>
      <c r="F11" s="91">
        <f>专项调整!F29</f>
        <v>-1106</v>
      </c>
      <c r="G11" s="91">
        <f>专项调整!G29</f>
        <v>0</v>
      </c>
      <c r="H11" s="91">
        <f>-889+45-61</f>
        <v>-905</v>
      </c>
      <c r="I11" s="91">
        <v>-526</v>
      </c>
      <c r="J11" s="100"/>
      <c r="L11">
        <f t="shared" si="0"/>
        <v>37123</v>
      </c>
      <c r="P11" t="s">
        <v>143</v>
      </c>
      <c r="Q11">
        <v>13389</v>
      </c>
      <c r="R11" t="s">
        <v>144</v>
      </c>
      <c r="S11">
        <v>33162</v>
      </c>
    </row>
    <row r="12" ht="20.25" customHeight="1" spans="1:19">
      <c r="A12" s="61" t="s">
        <v>144</v>
      </c>
      <c r="B12" s="91">
        <f>总表!E13</f>
        <v>27631</v>
      </c>
      <c r="C12" s="91">
        <f t="shared" si="1"/>
        <v>32506</v>
      </c>
      <c r="D12" s="91">
        <f t="shared" si="2"/>
        <v>4875</v>
      </c>
      <c r="E12" s="91">
        <f>专项调整!E32</f>
        <v>696</v>
      </c>
      <c r="F12" s="91">
        <f>专项调整!F32</f>
        <v>5889</v>
      </c>
      <c r="G12" s="91">
        <f>专项调整!G32</f>
        <v>985</v>
      </c>
      <c r="H12" s="91">
        <f>-2186+189</f>
        <v>-1997</v>
      </c>
      <c r="I12" s="91">
        <v>-698</v>
      </c>
      <c r="J12" s="100"/>
      <c r="L12">
        <f t="shared" si="0"/>
        <v>31521</v>
      </c>
      <c r="P12" t="s">
        <v>145</v>
      </c>
      <c r="R12" t="s">
        <v>146</v>
      </c>
      <c r="S12">
        <v>9574</v>
      </c>
    </row>
    <row r="13" ht="20.25" customHeight="1" spans="1:19">
      <c r="A13" s="61" t="s">
        <v>146</v>
      </c>
      <c r="B13" s="91">
        <f>总表!E14</f>
        <v>3650</v>
      </c>
      <c r="C13" s="91">
        <f t="shared" si="1"/>
        <v>9455</v>
      </c>
      <c r="D13" s="91">
        <f t="shared" si="2"/>
        <v>5805</v>
      </c>
      <c r="E13" s="91">
        <f>专项调整!E36</f>
        <v>1560</v>
      </c>
      <c r="F13" s="91">
        <f>专项调整!F36</f>
        <v>1664</v>
      </c>
      <c r="G13" s="91">
        <f>专项调整!G36</f>
        <v>2700</v>
      </c>
      <c r="H13" s="91">
        <v>-119</v>
      </c>
      <c r="I13" s="91">
        <v>0</v>
      </c>
      <c r="J13" s="100"/>
      <c r="L13">
        <f t="shared" si="0"/>
        <v>6755</v>
      </c>
      <c r="P13" t="s">
        <v>147</v>
      </c>
      <c r="Q13">
        <v>4354</v>
      </c>
      <c r="R13" t="s">
        <v>148</v>
      </c>
      <c r="S13">
        <v>15245</v>
      </c>
    </row>
    <row r="14" ht="20.25" customHeight="1" spans="1:19">
      <c r="A14" s="61" t="s">
        <v>148</v>
      </c>
      <c r="B14" s="91">
        <f>总表!E15</f>
        <v>8533</v>
      </c>
      <c r="C14" s="91">
        <f t="shared" si="1"/>
        <v>13830</v>
      </c>
      <c r="D14" s="91">
        <f t="shared" si="2"/>
        <v>5297</v>
      </c>
      <c r="E14" s="91">
        <f>专项调整!E39</f>
        <v>1500</v>
      </c>
      <c r="F14" s="91">
        <f>专项调整!F39</f>
        <v>-1322</v>
      </c>
      <c r="G14" s="91">
        <f>专项调整!G39</f>
        <v>7750</v>
      </c>
      <c r="H14" s="91">
        <f>-2614+538</f>
        <v>-2076</v>
      </c>
      <c r="I14" s="91">
        <v>-555</v>
      </c>
      <c r="J14" s="100"/>
      <c r="L14">
        <f t="shared" si="0"/>
        <v>6080</v>
      </c>
      <c r="P14" t="s">
        <v>149</v>
      </c>
      <c r="Q14">
        <v>10003</v>
      </c>
      <c r="R14" t="s">
        <v>150</v>
      </c>
      <c r="S14">
        <v>19913</v>
      </c>
    </row>
    <row r="15" ht="20.25" customHeight="1" spans="1:19">
      <c r="A15" s="61" t="s">
        <v>150</v>
      </c>
      <c r="B15" s="91">
        <f>总表!E16</f>
        <v>19736</v>
      </c>
      <c r="C15" s="91">
        <f t="shared" si="1"/>
        <v>17051</v>
      </c>
      <c r="D15" s="91">
        <f t="shared" si="2"/>
        <v>-2685</v>
      </c>
      <c r="E15" s="91">
        <f>专项调整!E42</f>
        <v>705</v>
      </c>
      <c r="F15" s="91">
        <f>专项调整!F42</f>
        <v>57</v>
      </c>
      <c r="G15" s="91">
        <f>专项调整!G42</f>
        <v>600</v>
      </c>
      <c r="H15" s="91">
        <v>-1984</v>
      </c>
      <c r="I15" s="91">
        <v>-2063</v>
      </c>
      <c r="J15" s="100"/>
      <c r="L15">
        <f t="shared" si="0"/>
        <v>16451</v>
      </c>
      <c r="P15" t="s">
        <v>151</v>
      </c>
      <c r="Q15">
        <v>1348</v>
      </c>
      <c r="R15" t="s">
        <v>152</v>
      </c>
      <c r="S15">
        <v>4935</v>
      </c>
    </row>
    <row r="16" ht="20.25" customHeight="1" spans="1:19">
      <c r="A16" s="60" t="s">
        <v>152</v>
      </c>
      <c r="B16" s="91">
        <f>总表!E17</f>
        <v>3555</v>
      </c>
      <c r="C16" s="91">
        <f t="shared" si="1"/>
        <v>4533</v>
      </c>
      <c r="D16" s="91">
        <f t="shared" si="2"/>
        <v>978</v>
      </c>
      <c r="E16" s="91">
        <f>专项调整!E47</f>
        <v>70</v>
      </c>
      <c r="F16" s="91">
        <f>专项调整!F47</f>
        <v>-20</v>
      </c>
      <c r="G16" s="91">
        <f>专项调整!G47</f>
        <v>2000</v>
      </c>
      <c r="H16" s="91">
        <v>-670</v>
      </c>
      <c r="I16" s="91">
        <v>-402</v>
      </c>
      <c r="J16" s="100"/>
      <c r="L16">
        <f t="shared" si="0"/>
        <v>2533</v>
      </c>
      <c r="P16" t="s">
        <v>153</v>
      </c>
      <c r="Q16">
        <v>455</v>
      </c>
      <c r="R16" t="s">
        <v>154</v>
      </c>
      <c r="S16">
        <v>20364</v>
      </c>
    </row>
    <row r="17" ht="20.25" customHeight="1" spans="1:19">
      <c r="A17" s="60" t="s">
        <v>154</v>
      </c>
      <c r="B17" s="91">
        <f>总表!E18</f>
        <v>18710</v>
      </c>
      <c r="C17" s="91">
        <f t="shared" si="1"/>
        <v>6072</v>
      </c>
      <c r="D17" s="91">
        <f t="shared" si="2"/>
        <v>-12638</v>
      </c>
      <c r="E17" s="91">
        <f>专项调整!E51</f>
        <v>164</v>
      </c>
      <c r="F17" s="91">
        <f>专项调整!F51</f>
        <v>1790</v>
      </c>
      <c r="G17" s="91">
        <f>专项调整!G51</f>
        <v>0</v>
      </c>
      <c r="H17" s="91">
        <v>-1040</v>
      </c>
      <c r="I17" s="91">
        <f>-111-13441</f>
        <v>-13552</v>
      </c>
      <c r="J17" s="100"/>
      <c r="L17">
        <f t="shared" si="0"/>
        <v>6072</v>
      </c>
      <c r="P17" t="s">
        <v>155</v>
      </c>
      <c r="Q17">
        <v>342</v>
      </c>
      <c r="R17" t="s">
        <v>156</v>
      </c>
      <c r="S17">
        <v>577</v>
      </c>
    </row>
    <row r="18" ht="20.25" customHeight="1" spans="1:19">
      <c r="A18" s="60" t="s">
        <v>156</v>
      </c>
      <c r="B18" s="91">
        <f>总表!E19</f>
        <v>577</v>
      </c>
      <c r="C18" s="91">
        <f t="shared" si="1"/>
        <v>495</v>
      </c>
      <c r="D18" s="91">
        <f t="shared" si="2"/>
        <v>-82</v>
      </c>
      <c r="E18" s="91">
        <f>专项调整!E54</f>
        <v>0</v>
      </c>
      <c r="F18" s="91">
        <f>专项调整!F54</f>
        <v>0</v>
      </c>
      <c r="G18" s="91">
        <f>专项调整!G54</f>
        <v>0</v>
      </c>
      <c r="H18" s="91"/>
      <c r="I18" s="91">
        <v>-82</v>
      </c>
      <c r="J18" s="100"/>
      <c r="L18">
        <f t="shared" si="0"/>
        <v>495</v>
      </c>
      <c r="P18" t="s">
        <v>157</v>
      </c>
      <c r="Q18">
        <v>0</v>
      </c>
      <c r="R18" t="s">
        <v>158</v>
      </c>
      <c r="S18">
        <v>4030</v>
      </c>
    </row>
    <row r="19" ht="20.25" customHeight="1" spans="1:19">
      <c r="A19" s="92" t="s">
        <v>158</v>
      </c>
      <c r="B19" s="91">
        <f>总表!E20</f>
        <v>4230</v>
      </c>
      <c r="C19" s="91">
        <f t="shared" si="1"/>
        <v>2227</v>
      </c>
      <c r="D19" s="91">
        <f t="shared" si="2"/>
        <v>-2003</v>
      </c>
      <c r="E19" s="91">
        <f>专项调整!E57</f>
        <v>4400</v>
      </c>
      <c r="F19" s="91">
        <f>专项调整!F57</f>
        <v>-4400</v>
      </c>
      <c r="G19" s="91">
        <f>专项调整!G57</f>
        <v>0</v>
      </c>
      <c r="H19" s="91">
        <v>-1735</v>
      </c>
      <c r="I19" s="91">
        <v>-268</v>
      </c>
      <c r="J19" s="70"/>
      <c r="L19">
        <f t="shared" si="0"/>
        <v>2227</v>
      </c>
      <c r="P19" t="s">
        <v>159</v>
      </c>
      <c r="Q19">
        <v>0</v>
      </c>
      <c r="R19" t="s">
        <v>63</v>
      </c>
      <c r="S19">
        <v>200</v>
      </c>
    </row>
    <row r="20" ht="20.25" customHeight="1" spans="1:19">
      <c r="A20" s="92" t="s">
        <v>63</v>
      </c>
      <c r="B20" s="91">
        <f>总表!E21</f>
        <v>200</v>
      </c>
      <c r="C20" s="91">
        <f t="shared" si="1"/>
        <v>0</v>
      </c>
      <c r="D20" s="91">
        <f t="shared" si="2"/>
        <v>-200</v>
      </c>
      <c r="E20" s="91">
        <f>专项调整!E60</f>
        <v>1818</v>
      </c>
      <c r="F20" s="91">
        <f>专项调整!F62</f>
        <v>-1818</v>
      </c>
      <c r="G20" s="91"/>
      <c r="H20" s="91">
        <v>-200</v>
      </c>
      <c r="I20" s="91">
        <v>0</v>
      </c>
      <c r="J20" s="100"/>
      <c r="L20">
        <f t="shared" si="0"/>
        <v>0</v>
      </c>
      <c r="P20" t="s">
        <v>160</v>
      </c>
      <c r="Q20">
        <v>1375</v>
      </c>
      <c r="R20" t="s">
        <v>161</v>
      </c>
      <c r="S20">
        <v>2250</v>
      </c>
    </row>
    <row r="21" ht="20.25" customHeight="1" spans="1:19">
      <c r="A21" s="92" t="s">
        <v>161</v>
      </c>
      <c r="B21" s="91">
        <f>总表!E22</f>
        <v>2180</v>
      </c>
      <c r="C21" s="91">
        <f t="shared" si="1"/>
        <v>1723</v>
      </c>
      <c r="D21" s="91">
        <f t="shared" si="2"/>
        <v>-457</v>
      </c>
      <c r="E21" s="91"/>
      <c r="F21" s="91">
        <f>专项调整!F63</f>
        <v>70</v>
      </c>
      <c r="G21" s="91">
        <f>专项调整!G63</f>
        <v>0</v>
      </c>
      <c r="H21" s="91">
        <v>-527</v>
      </c>
      <c r="I21" s="91">
        <v>0</v>
      </c>
      <c r="J21" s="100"/>
      <c r="L21">
        <f t="shared" si="0"/>
        <v>1723</v>
      </c>
      <c r="P21" t="s">
        <v>162</v>
      </c>
      <c r="R21" t="s">
        <v>69</v>
      </c>
      <c r="S21">
        <v>3643</v>
      </c>
    </row>
    <row r="22" ht="20.25" customHeight="1" spans="1:19">
      <c r="A22" s="93" t="s">
        <v>69</v>
      </c>
      <c r="B22" s="91">
        <f>总表!E23</f>
        <v>3507</v>
      </c>
      <c r="C22" s="91">
        <f t="shared" si="1"/>
        <v>2732</v>
      </c>
      <c r="D22" s="91">
        <f t="shared" si="2"/>
        <v>-775</v>
      </c>
      <c r="E22" s="91">
        <f>专项调整!E67</f>
        <v>678</v>
      </c>
      <c r="F22" s="91">
        <f>专项调整!F67</f>
        <v>-542</v>
      </c>
      <c r="G22" s="91">
        <f>专项调整!G67</f>
        <v>0</v>
      </c>
      <c r="H22" s="91">
        <v>-768</v>
      </c>
      <c r="I22" s="91">
        <v>-143</v>
      </c>
      <c r="J22" s="100"/>
      <c r="L22">
        <f t="shared" si="0"/>
        <v>2732</v>
      </c>
      <c r="P22" t="s">
        <v>163</v>
      </c>
      <c r="R22" t="s">
        <v>72</v>
      </c>
      <c r="S22">
        <v>16244</v>
      </c>
    </row>
    <row r="23" ht="20.25" customHeight="1" spans="1:19">
      <c r="A23" s="94" t="s">
        <v>72</v>
      </c>
      <c r="B23" s="91">
        <f>总表!E24</f>
        <v>16244</v>
      </c>
      <c r="C23" s="91">
        <f t="shared" si="1"/>
        <v>16244</v>
      </c>
      <c r="D23" s="91">
        <f t="shared" si="2"/>
        <v>0</v>
      </c>
      <c r="E23" s="91"/>
      <c r="F23" s="91">
        <f>专项调整!F70</f>
        <v>0</v>
      </c>
      <c r="G23" s="91"/>
      <c r="H23" s="91"/>
      <c r="I23" s="91"/>
      <c r="J23" s="101"/>
      <c r="L23">
        <f t="shared" si="0"/>
        <v>16244</v>
      </c>
      <c r="P23" t="s">
        <v>164</v>
      </c>
      <c r="Q23">
        <v>812</v>
      </c>
      <c r="R23" t="s">
        <v>75</v>
      </c>
      <c r="S23">
        <v>15107</v>
      </c>
    </row>
    <row r="24" ht="20.25" customHeight="1" spans="1:17">
      <c r="A24" s="95" t="s">
        <v>75</v>
      </c>
      <c r="B24" s="91">
        <f>总表!E25</f>
        <v>5000</v>
      </c>
      <c r="C24" s="91">
        <f t="shared" si="1"/>
        <v>3860</v>
      </c>
      <c r="D24" s="91">
        <f t="shared" si="2"/>
        <v>-1140</v>
      </c>
      <c r="E24" s="91">
        <f>专项调整!E71</f>
        <v>0</v>
      </c>
      <c r="F24" s="91">
        <f>专项调整!F71</f>
        <v>10107</v>
      </c>
      <c r="G24" s="91">
        <f>专项调整!G71</f>
        <v>0</v>
      </c>
      <c r="H24" s="91"/>
      <c r="I24" s="91">
        <v>-11247</v>
      </c>
      <c r="J24" s="100"/>
      <c r="L24">
        <f t="shared" si="0"/>
        <v>3860</v>
      </c>
      <c r="P24" t="s">
        <v>165</v>
      </c>
      <c r="Q24">
        <v>0</v>
      </c>
    </row>
    <row r="25" spans="16:16">
      <c r="P25" t="s">
        <v>166</v>
      </c>
    </row>
    <row r="26" spans="16:16">
      <c r="P26" t="s">
        <v>167</v>
      </c>
    </row>
    <row r="27" spans="7:16">
      <c r="G27" t="s">
        <v>168</v>
      </c>
      <c r="H27">
        <v>7996</v>
      </c>
      <c r="P27" t="s">
        <v>169</v>
      </c>
    </row>
    <row r="28" spans="7:8">
      <c r="G28" t="s">
        <v>170</v>
      </c>
      <c r="H28">
        <v>33</v>
      </c>
    </row>
    <row r="29" spans="1:8">
      <c r="A29" s="96" t="s">
        <v>171</v>
      </c>
      <c r="B29" s="97">
        <f>SUM(B8:B16,B18:B21)</f>
        <v>225908</v>
      </c>
      <c r="C29" s="97">
        <f>SUM(C8:C16,C18:C21)</f>
        <v>214764</v>
      </c>
      <c r="G29" t="s">
        <v>172</v>
      </c>
      <c r="H29">
        <v>1501</v>
      </c>
    </row>
    <row r="30" spans="1:8">
      <c r="A30" s="96" t="s">
        <v>173</v>
      </c>
      <c r="B30" s="98">
        <f>B29/B4</f>
        <v>0.704544603984481</v>
      </c>
      <c r="C30" s="98">
        <f>C29/C4</f>
        <v>0.763708518839879</v>
      </c>
      <c r="G30" t="s">
        <v>174</v>
      </c>
      <c r="H30">
        <v>30115</v>
      </c>
    </row>
    <row r="31" spans="7:8">
      <c r="G31" t="s">
        <v>175</v>
      </c>
      <c r="H31">
        <v>119</v>
      </c>
    </row>
    <row r="32" spans="7:8">
      <c r="G32" t="s">
        <v>176</v>
      </c>
      <c r="H32">
        <v>700</v>
      </c>
    </row>
    <row r="33" spans="7:8">
      <c r="G33" t="s">
        <v>177</v>
      </c>
      <c r="H33">
        <v>526</v>
      </c>
    </row>
    <row r="34" spans="7:8">
      <c r="G34" t="s">
        <v>178</v>
      </c>
      <c r="H34">
        <v>698</v>
      </c>
    </row>
    <row r="35" spans="7:7">
      <c r="G35" t="s">
        <v>179</v>
      </c>
    </row>
    <row r="36" spans="7:8">
      <c r="G36" t="s">
        <v>180</v>
      </c>
      <c r="H36">
        <v>555</v>
      </c>
    </row>
    <row r="37" spans="7:8">
      <c r="G37" t="s">
        <v>181</v>
      </c>
      <c r="H37">
        <v>2063</v>
      </c>
    </row>
    <row r="38" spans="7:8">
      <c r="G38" t="s">
        <v>182</v>
      </c>
      <c r="H38">
        <v>402</v>
      </c>
    </row>
    <row r="39" spans="7:8">
      <c r="G39" t="s">
        <v>183</v>
      </c>
      <c r="H39">
        <v>111</v>
      </c>
    </row>
    <row r="40" spans="7:8">
      <c r="G40" t="s">
        <v>184</v>
      </c>
      <c r="H40">
        <v>82</v>
      </c>
    </row>
    <row r="41" spans="7:8">
      <c r="G41" t="s">
        <v>185</v>
      </c>
      <c r="H41">
        <v>268</v>
      </c>
    </row>
    <row r="42" spans="7:7">
      <c r="G42" t="s">
        <v>186</v>
      </c>
    </row>
    <row r="43" spans="7:7">
      <c r="G43" t="s">
        <v>187</v>
      </c>
    </row>
    <row r="44" spans="7:8">
      <c r="G44" t="s">
        <v>188</v>
      </c>
      <c r="H44">
        <v>143</v>
      </c>
    </row>
  </sheetData>
  <mergeCells count="1">
    <mergeCell ref="A1:J1"/>
  </mergeCells>
  <pageMargins left="0.984027777777778" right="0" top="0.590277777777778" bottom="0.393055555555556" header="0.511805555555556" footer="0.511805555555556"/>
  <pageSetup paperSize="9" scale="99" orientation="landscape" horizontalDpi="1200" verticalDpi="12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78"/>
  <sheetViews>
    <sheetView showZeros="0" zoomScale="115" zoomScaleNormal="115" workbookViewId="0">
      <pane ySplit="6" topLeftCell="A7" activePane="bottomLeft" state="frozen"/>
      <selection/>
      <selection pane="bottomLeft" activeCell="F13" sqref="F13"/>
    </sheetView>
  </sheetViews>
  <sheetFormatPr defaultColWidth="9" defaultRowHeight="12.75"/>
  <cols>
    <col min="1" max="1" width="36.625" style="1" customWidth="1"/>
    <col min="2" max="2" width="8.25" style="1" customWidth="1"/>
    <col min="3" max="3" width="9.625" style="1" customWidth="1"/>
    <col min="4" max="4" width="8.75" style="1" customWidth="1"/>
    <col min="5" max="6" width="10.75" style="1" customWidth="1"/>
    <col min="7" max="7" width="8.25" style="1" customWidth="1"/>
    <col min="8" max="8" width="9.375" style="1" customWidth="1"/>
    <col min="9" max="9" width="8.625" style="1" customWidth="1"/>
    <col min="10" max="10" width="11.25" style="1" customWidth="1"/>
    <col min="11" max="11" width="19.25" style="1" customWidth="1"/>
    <col min="12" max="16384" width="9" style="1"/>
  </cols>
  <sheetData>
    <row r="1" ht="24.75" customHeight="1" spans="1:11">
      <c r="A1" s="45" t="s">
        <v>189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16.5" customHeight="1" spans="1:11">
      <c r="A2" s="46" t="s">
        <v>1</v>
      </c>
      <c r="B2" s="47"/>
      <c r="K2" s="46" t="s">
        <v>190</v>
      </c>
    </row>
    <row r="3" ht="18" customHeight="1" spans="1:11">
      <c r="A3" s="48" t="s">
        <v>191</v>
      </c>
      <c r="B3" s="49" t="s">
        <v>192</v>
      </c>
      <c r="C3" s="49"/>
      <c r="D3" s="49"/>
      <c r="E3" s="49" t="s">
        <v>193</v>
      </c>
      <c r="F3" s="49"/>
      <c r="G3" s="49"/>
      <c r="H3" s="49"/>
      <c r="I3" s="49"/>
      <c r="J3" s="49"/>
      <c r="K3" s="65" t="s">
        <v>194</v>
      </c>
    </row>
    <row r="4" ht="25.5" customHeight="1" spans="1:11">
      <c r="A4" s="48"/>
      <c r="B4" s="50" t="s">
        <v>195</v>
      </c>
      <c r="C4" s="51" t="s">
        <v>196</v>
      </c>
      <c r="D4" s="50" t="s">
        <v>197</v>
      </c>
      <c r="E4" s="5" t="s">
        <v>198</v>
      </c>
      <c r="F4" s="5" t="s">
        <v>123</v>
      </c>
      <c r="G4" s="5" t="s">
        <v>124</v>
      </c>
      <c r="H4" s="52" t="s">
        <v>199</v>
      </c>
      <c r="I4" s="52" t="s">
        <v>200</v>
      </c>
      <c r="J4" s="66" t="s">
        <v>201</v>
      </c>
      <c r="K4" s="65"/>
    </row>
    <row r="5" ht="17.25" customHeight="1" spans="1:11">
      <c r="A5" s="49" t="s">
        <v>202</v>
      </c>
      <c r="B5" s="44">
        <f>SUM(B6)</f>
        <v>33068</v>
      </c>
      <c r="C5" s="44">
        <f t="shared" ref="C5:J5" si="0">SUM(C6)</f>
        <v>82448.8</v>
      </c>
      <c r="D5" s="44">
        <f t="shared" si="0"/>
        <v>-49380.8</v>
      </c>
      <c r="E5" s="44">
        <f t="shared" si="0"/>
        <v>14250</v>
      </c>
      <c r="F5" s="44">
        <f t="shared" si="0"/>
        <v>17035.8</v>
      </c>
      <c r="G5" s="44">
        <f t="shared" si="0"/>
        <v>18095</v>
      </c>
      <c r="H5" s="44">
        <f t="shared" si="0"/>
        <v>82448.8</v>
      </c>
      <c r="I5" s="44">
        <f t="shared" si="0"/>
        <v>49262</v>
      </c>
      <c r="J5" s="44">
        <f t="shared" si="0"/>
        <v>0</v>
      </c>
      <c r="K5" s="67"/>
    </row>
    <row r="6" ht="17.25" customHeight="1" spans="1:11">
      <c r="A6" s="53" t="s">
        <v>128</v>
      </c>
      <c r="B6" s="54">
        <f t="shared" ref="B6:J6" si="1">SUM(B7,B13:B14,B17,B23:B24,B29,B32,B36,B39,B42,B47,B51,B54,B57,B63,B67,B70:B71)</f>
        <v>33068</v>
      </c>
      <c r="C6" s="54">
        <f t="shared" si="1"/>
        <v>82448.8</v>
      </c>
      <c r="D6" s="54">
        <f t="shared" si="1"/>
        <v>-49380.8</v>
      </c>
      <c r="E6" s="54">
        <f>SUM(E7,E13:E14,E17,E23:E24,E29,E32,E36,E39,E42,E47,E51,E54,E57,E63,E67,E70:E71,E60)</f>
        <v>14250</v>
      </c>
      <c r="F6" s="54">
        <f>SUM(F7,F13:F14,F17,F23:F24,F29,F32,F36,F39,F42,F47,F51,F54,F57,F63,F67,F70:F71,F60)</f>
        <v>17035.8</v>
      </c>
      <c r="G6" s="54">
        <f t="shared" si="1"/>
        <v>18095</v>
      </c>
      <c r="H6" s="54">
        <f t="shared" si="1"/>
        <v>82448.8</v>
      </c>
      <c r="I6" s="54">
        <f t="shared" si="1"/>
        <v>49262</v>
      </c>
      <c r="J6" s="54">
        <f t="shared" si="1"/>
        <v>0</v>
      </c>
      <c r="K6" s="68"/>
    </row>
    <row r="7" ht="17.25" customHeight="1" spans="1:11">
      <c r="A7" s="55" t="s">
        <v>203</v>
      </c>
      <c r="B7" s="56">
        <f t="shared" ref="B7:J7" si="2">SUM(B8:B12)</f>
        <v>3000</v>
      </c>
      <c r="C7" s="56">
        <f t="shared" si="2"/>
        <v>4586</v>
      </c>
      <c r="D7" s="56">
        <f t="shared" si="2"/>
        <v>-1586</v>
      </c>
      <c r="E7" s="56">
        <f t="shared" si="2"/>
        <v>662</v>
      </c>
      <c r="F7" s="56">
        <f t="shared" si="2"/>
        <v>924</v>
      </c>
      <c r="G7" s="56">
        <f t="shared" si="2"/>
        <v>0</v>
      </c>
      <c r="H7" s="56">
        <f t="shared" si="2"/>
        <v>4586</v>
      </c>
      <c r="I7" s="56">
        <f t="shared" si="2"/>
        <v>1586</v>
      </c>
      <c r="J7" s="56">
        <f t="shared" si="2"/>
        <v>0</v>
      </c>
      <c r="K7" s="34"/>
    </row>
    <row r="8" ht="17.25" customHeight="1" spans="1:11">
      <c r="A8" s="57" t="s">
        <v>204</v>
      </c>
      <c r="B8" s="44"/>
      <c r="C8" s="58">
        <v>200</v>
      </c>
      <c r="D8" s="44">
        <f t="shared" ref="D8:D13" si="3">B8-C8</f>
        <v>-200</v>
      </c>
      <c r="E8" s="59"/>
      <c r="F8" s="59">
        <v>200</v>
      </c>
      <c r="G8" s="44"/>
      <c r="H8" s="44">
        <f t="shared" ref="H8:H13" si="4">SUM(B8,E8:G8)</f>
        <v>200</v>
      </c>
      <c r="I8" s="44">
        <f>H8-B8</f>
        <v>200</v>
      </c>
      <c r="J8" s="44">
        <f t="shared" ref="J8:J20" si="5">H8-C8</f>
        <v>0</v>
      </c>
      <c r="K8" s="69"/>
    </row>
    <row r="9" ht="17.25" customHeight="1" spans="1:11">
      <c r="A9" s="57" t="s">
        <v>205</v>
      </c>
      <c r="B9" s="44">
        <v>3000</v>
      </c>
      <c r="C9" s="44">
        <v>3203</v>
      </c>
      <c r="D9" s="44">
        <f t="shared" si="3"/>
        <v>-203</v>
      </c>
      <c r="E9" s="59"/>
      <c r="F9" s="59">
        <v>203</v>
      </c>
      <c r="G9" s="44"/>
      <c r="H9" s="44">
        <f t="shared" si="4"/>
        <v>3203</v>
      </c>
      <c r="I9" s="44">
        <f>H9-B9</f>
        <v>203</v>
      </c>
      <c r="J9" s="44">
        <f t="shared" si="5"/>
        <v>0</v>
      </c>
      <c r="K9" s="69"/>
    </row>
    <row r="10" ht="17.25" customHeight="1" spans="1:11">
      <c r="A10" s="60" t="s">
        <v>206</v>
      </c>
      <c r="B10" s="44"/>
      <c r="C10" s="58">
        <v>570</v>
      </c>
      <c r="D10" s="44">
        <f t="shared" si="3"/>
        <v>-570</v>
      </c>
      <c r="E10" s="59"/>
      <c r="F10" s="59">
        <v>570</v>
      </c>
      <c r="G10" s="44"/>
      <c r="H10" s="44">
        <f t="shared" si="4"/>
        <v>570</v>
      </c>
      <c r="I10" s="44">
        <f>H10-B10</f>
        <v>570</v>
      </c>
      <c r="J10" s="44">
        <f t="shared" si="5"/>
        <v>0</v>
      </c>
      <c r="K10" s="69"/>
    </row>
    <row r="11" ht="17.25" customHeight="1" spans="1:11">
      <c r="A11" s="60" t="s">
        <v>207</v>
      </c>
      <c r="B11" s="44"/>
      <c r="C11" s="58">
        <v>100</v>
      </c>
      <c r="D11" s="44">
        <f t="shared" si="3"/>
        <v>-100</v>
      </c>
      <c r="E11" s="59"/>
      <c r="F11" s="59">
        <v>100</v>
      </c>
      <c r="G11" s="44"/>
      <c r="H11" s="44">
        <f t="shared" si="4"/>
        <v>100</v>
      </c>
      <c r="I11" s="44">
        <f>H11-B11</f>
        <v>100</v>
      </c>
      <c r="J11" s="44">
        <f t="shared" si="5"/>
        <v>0</v>
      </c>
      <c r="K11" s="69"/>
    </row>
    <row r="12" ht="25.5" customHeight="1" spans="1:11">
      <c r="A12" s="60" t="s">
        <v>208</v>
      </c>
      <c r="B12" s="44"/>
      <c r="C12" s="58">
        <v>513</v>
      </c>
      <c r="D12" s="44">
        <f t="shared" si="3"/>
        <v>-513</v>
      </c>
      <c r="E12" s="59">
        <f>14+645+3</f>
        <v>662</v>
      </c>
      <c r="F12" s="59">
        <f>-155+6</f>
        <v>-149</v>
      </c>
      <c r="G12" s="59"/>
      <c r="H12" s="44">
        <f t="shared" si="4"/>
        <v>513</v>
      </c>
      <c r="I12" s="44">
        <f>H12-B12</f>
        <v>513</v>
      </c>
      <c r="J12" s="44">
        <f t="shared" si="5"/>
        <v>0</v>
      </c>
      <c r="K12" s="70"/>
    </row>
    <row r="13" ht="17.25" customHeight="1" spans="1:11">
      <c r="A13" s="55" t="s">
        <v>209</v>
      </c>
      <c r="B13" s="56"/>
      <c r="C13" s="58">
        <v>115.8</v>
      </c>
      <c r="D13" s="56">
        <f t="shared" si="3"/>
        <v>-115.8</v>
      </c>
      <c r="E13" s="56"/>
      <c r="F13" s="56">
        <v>115.8</v>
      </c>
      <c r="G13" s="56"/>
      <c r="H13" s="56">
        <f t="shared" si="4"/>
        <v>115.8</v>
      </c>
      <c r="I13" s="56">
        <v>116</v>
      </c>
      <c r="J13" s="56">
        <f t="shared" si="5"/>
        <v>0</v>
      </c>
      <c r="K13" s="71"/>
    </row>
    <row r="14" ht="17.25" customHeight="1" spans="1:11">
      <c r="A14" s="55" t="s">
        <v>210</v>
      </c>
      <c r="B14" s="56">
        <f t="shared" ref="B14:I14" si="6">SUM(B15:B16)</f>
        <v>0</v>
      </c>
      <c r="C14" s="56">
        <f t="shared" si="6"/>
        <v>198</v>
      </c>
      <c r="D14" s="56">
        <f t="shared" si="6"/>
        <v>-198</v>
      </c>
      <c r="E14" s="56">
        <f t="shared" si="6"/>
        <v>223</v>
      </c>
      <c r="F14" s="56">
        <f t="shared" si="6"/>
        <v>-25</v>
      </c>
      <c r="G14" s="56">
        <f t="shared" si="6"/>
        <v>0</v>
      </c>
      <c r="H14" s="56">
        <f t="shared" si="6"/>
        <v>198</v>
      </c>
      <c r="I14" s="56">
        <f t="shared" si="6"/>
        <v>198</v>
      </c>
      <c r="J14" s="56">
        <f t="shared" si="5"/>
        <v>0</v>
      </c>
      <c r="K14" s="34"/>
    </row>
    <row r="15" ht="17.25" customHeight="1" spans="1:11">
      <c r="A15" s="61" t="s">
        <v>211</v>
      </c>
      <c r="B15" s="44"/>
      <c r="C15" s="58">
        <v>108</v>
      </c>
      <c r="D15" s="59">
        <f>B15-C15</f>
        <v>-108</v>
      </c>
      <c r="E15" s="59"/>
      <c r="F15" s="59">
        <v>108</v>
      </c>
      <c r="G15" s="59"/>
      <c r="H15" s="44">
        <f>SUM(B15,E15:G15)</f>
        <v>108</v>
      </c>
      <c r="I15" s="44">
        <f>H15-B15</f>
        <v>108</v>
      </c>
      <c r="J15" s="44">
        <f t="shared" si="5"/>
        <v>0</v>
      </c>
      <c r="K15" s="68"/>
    </row>
    <row r="16" ht="17.25" customHeight="1" spans="1:11">
      <c r="A16" s="61" t="s">
        <v>212</v>
      </c>
      <c r="B16" s="44"/>
      <c r="C16" s="58">
        <v>90</v>
      </c>
      <c r="D16" s="59">
        <f>B16-C16</f>
        <v>-90</v>
      </c>
      <c r="E16" s="59">
        <v>223</v>
      </c>
      <c r="F16" s="59">
        <v>-133</v>
      </c>
      <c r="G16" s="59"/>
      <c r="H16" s="44">
        <f>SUM(B16,E16:G16)</f>
        <v>90</v>
      </c>
      <c r="I16" s="44">
        <f>H16-B16</f>
        <v>90</v>
      </c>
      <c r="J16" s="44">
        <f t="shared" si="5"/>
        <v>0</v>
      </c>
      <c r="K16" s="70"/>
    </row>
    <row r="17" ht="17.25" customHeight="1" spans="1:11">
      <c r="A17" s="55" t="s">
        <v>213</v>
      </c>
      <c r="B17" s="56">
        <f>SUM(B18:B22)</f>
        <v>0</v>
      </c>
      <c r="C17" s="56">
        <f>SUM(C18:C22)</f>
        <v>9721</v>
      </c>
      <c r="D17" s="56">
        <f t="shared" ref="D17:D26" si="7">B17-C17</f>
        <v>-9721</v>
      </c>
      <c r="E17" s="56">
        <f>SUM(E18:E22)</f>
        <v>298</v>
      </c>
      <c r="F17" s="56">
        <f>SUM(F18:F22)</f>
        <v>5673</v>
      </c>
      <c r="G17" s="56">
        <f>SUM(G18:G22)</f>
        <v>3750</v>
      </c>
      <c r="H17" s="56">
        <f t="shared" ref="H17:H26" si="8">SUM(B17,E17:G17)</f>
        <v>9721</v>
      </c>
      <c r="I17" s="56">
        <f>SUM(I18:I22)</f>
        <v>9721</v>
      </c>
      <c r="J17" s="56">
        <f t="shared" si="5"/>
        <v>0</v>
      </c>
      <c r="K17" s="34"/>
    </row>
    <row r="18" ht="19.5" customHeight="1" spans="1:11">
      <c r="A18" s="62" t="s">
        <v>214</v>
      </c>
      <c r="B18" s="44"/>
      <c r="C18" s="59">
        <v>4697</v>
      </c>
      <c r="D18" s="59">
        <f t="shared" si="7"/>
        <v>-4697</v>
      </c>
      <c r="E18" s="59"/>
      <c r="F18" s="59">
        <v>4697</v>
      </c>
      <c r="G18" s="59"/>
      <c r="H18" s="44">
        <f t="shared" si="8"/>
        <v>4697</v>
      </c>
      <c r="I18" s="44">
        <f t="shared" ref="I17:I22" si="9">H18-B18</f>
        <v>4697</v>
      </c>
      <c r="J18" s="44">
        <f t="shared" si="5"/>
        <v>0</v>
      </c>
      <c r="K18" s="70"/>
    </row>
    <row r="19" ht="17.25" customHeight="1" spans="1:11">
      <c r="A19" s="61" t="s">
        <v>215</v>
      </c>
      <c r="B19" s="44"/>
      <c r="C19" s="59">
        <f>3750</f>
        <v>3750</v>
      </c>
      <c r="D19" s="59">
        <f t="shared" si="7"/>
        <v>-3750</v>
      </c>
      <c r="E19" s="59"/>
      <c r="F19" s="59"/>
      <c r="G19" s="59">
        <v>3750</v>
      </c>
      <c r="H19" s="44">
        <f t="shared" si="8"/>
        <v>3750</v>
      </c>
      <c r="I19" s="44">
        <f t="shared" si="9"/>
        <v>3750</v>
      </c>
      <c r="J19" s="44">
        <f t="shared" si="5"/>
        <v>0</v>
      </c>
      <c r="K19" s="72"/>
    </row>
    <row r="20" ht="17.25" customHeight="1" spans="1:11">
      <c r="A20" s="61" t="s">
        <v>216</v>
      </c>
      <c r="B20" s="44"/>
      <c r="C20" s="58">
        <v>655</v>
      </c>
      <c r="D20" s="59">
        <f t="shared" si="7"/>
        <v>-655</v>
      </c>
      <c r="E20" s="59"/>
      <c r="F20" s="59">
        <v>655</v>
      </c>
      <c r="G20" s="59"/>
      <c r="H20" s="44">
        <f t="shared" si="8"/>
        <v>655</v>
      </c>
      <c r="I20" s="44">
        <f t="shared" si="9"/>
        <v>655</v>
      </c>
      <c r="J20" s="44">
        <f t="shared" si="5"/>
        <v>0</v>
      </c>
      <c r="K20" s="72"/>
    </row>
    <row r="21" ht="17.25" customHeight="1" spans="1:11">
      <c r="A21" s="61" t="s">
        <v>217</v>
      </c>
      <c r="B21" s="44"/>
      <c r="C21" s="58">
        <v>263</v>
      </c>
      <c r="D21" s="59">
        <f t="shared" si="7"/>
        <v>-263</v>
      </c>
      <c r="E21" s="59"/>
      <c r="F21" s="59">
        <v>263</v>
      </c>
      <c r="G21" s="59"/>
      <c r="H21" s="44">
        <f t="shared" si="8"/>
        <v>263</v>
      </c>
      <c r="I21" s="44">
        <f t="shared" si="9"/>
        <v>263</v>
      </c>
      <c r="J21" s="44"/>
      <c r="K21" s="72"/>
    </row>
    <row r="22" ht="17.25" customHeight="1" spans="1:11">
      <c r="A22" s="61" t="s">
        <v>208</v>
      </c>
      <c r="B22" s="44"/>
      <c r="C22" s="58">
        <v>356</v>
      </c>
      <c r="D22" s="59">
        <f t="shared" si="7"/>
        <v>-356</v>
      </c>
      <c r="E22" s="59">
        <f>3+295</f>
        <v>298</v>
      </c>
      <c r="F22" s="59">
        <v>58</v>
      </c>
      <c r="G22" s="59"/>
      <c r="H22" s="44">
        <f t="shared" si="8"/>
        <v>356</v>
      </c>
      <c r="I22" s="44">
        <f t="shared" si="9"/>
        <v>356</v>
      </c>
      <c r="J22" s="44">
        <f>H22-C22</f>
        <v>0</v>
      </c>
      <c r="K22" s="68"/>
    </row>
    <row r="23" ht="17.25" customHeight="1" spans="1:11">
      <c r="A23" s="55" t="s">
        <v>218</v>
      </c>
      <c r="B23" s="56"/>
      <c r="C23" s="56"/>
      <c r="D23" s="56">
        <f t="shared" si="7"/>
        <v>0</v>
      </c>
      <c r="E23" s="56">
        <f>20+27</f>
        <v>47</v>
      </c>
      <c r="F23" s="56">
        <v>-47</v>
      </c>
      <c r="G23" s="56"/>
      <c r="H23" s="56">
        <f t="shared" si="8"/>
        <v>0</v>
      </c>
      <c r="I23" s="56">
        <f>-119</f>
        <v>-119</v>
      </c>
      <c r="J23" s="56">
        <f>H23-C23</f>
        <v>0</v>
      </c>
      <c r="K23" s="34"/>
    </row>
    <row r="24" ht="17.25" customHeight="1" spans="1:11">
      <c r="A24" s="55" t="s">
        <v>219</v>
      </c>
      <c r="B24" s="56">
        <f>SUM(B25:B26)</f>
        <v>0</v>
      </c>
      <c r="C24" s="56">
        <f>SUM(C25:C26)</f>
        <v>396</v>
      </c>
      <c r="D24" s="56">
        <f t="shared" si="7"/>
        <v>-396</v>
      </c>
      <c r="E24" s="56">
        <f>SUM(E25:E26)</f>
        <v>60</v>
      </c>
      <c r="F24" s="56">
        <f>SUM(F25:F26)</f>
        <v>26</v>
      </c>
      <c r="G24" s="56">
        <f>SUM(G25:G26)</f>
        <v>310</v>
      </c>
      <c r="H24" s="56">
        <f t="shared" si="8"/>
        <v>396</v>
      </c>
      <c r="I24" s="56">
        <f>H24-B24</f>
        <v>396</v>
      </c>
      <c r="J24" s="56">
        <f>H24-C24</f>
        <v>0</v>
      </c>
      <c r="K24" s="73"/>
    </row>
    <row r="25" ht="17.25" customHeight="1" spans="1:11">
      <c r="A25" s="61" t="s">
        <v>220</v>
      </c>
      <c r="B25" s="44"/>
      <c r="C25" s="59">
        <v>310</v>
      </c>
      <c r="D25" s="59">
        <f t="shared" si="7"/>
        <v>-310</v>
      </c>
      <c r="E25" s="59"/>
      <c r="F25" s="59"/>
      <c r="G25" s="59">
        <v>310</v>
      </c>
      <c r="H25" s="44">
        <f t="shared" si="8"/>
        <v>310</v>
      </c>
      <c r="I25" s="44">
        <f>H25-B25</f>
        <v>310</v>
      </c>
      <c r="J25" s="44">
        <f>H25-C25</f>
        <v>0</v>
      </c>
      <c r="K25" s="74"/>
    </row>
    <row r="26" ht="27.75" customHeight="1" spans="1:11">
      <c r="A26" s="62" t="s">
        <v>221</v>
      </c>
      <c r="B26" s="44"/>
      <c r="C26" s="58">
        <v>86</v>
      </c>
      <c r="D26" s="59">
        <f t="shared" si="7"/>
        <v>-86</v>
      </c>
      <c r="E26" s="59">
        <v>60</v>
      </c>
      <c r="F26" s="59">
        <v>26</v>
      </c>
      <c r="G26" s="59"/>
      <c r="H26" s="44">
        <f t="shared" si="8"/>
        <v>86</v>
      </c>
      <c r="I26" s="44">
        <f>H26-B26</f>
        <v>86</v>
      </c>
      <c r="J26" s="44">
        <f>H26-C26</f>
        <v>0</v>
      </c>
      <c r="K26" s="74"/>
    </row>
    <row r="27" ht="27.75" customHeight="1" spans="1:11">
      <c r="A27" s="62" t="s">
        <v>222</v>
      </c>
      <c r="B27" s="44"/>
      <c r="C27" s="59"/>
      <c r="D27" s="59"/>
      <c r="E27" s="59"/>
      <c r="F27" s="59"/>
      <c r="G27" s="59"/>
      <c r="H27" s="44"/>
      <c r="I27" s="44"/>
      <c r="J27" s="44"/>
      <c r="K27" s="74"/>
    </row>
    <row r="28" ht="27.75" customHeight="1" spans="1:11">
      <c r="A28" s="62" t="s">
        <v>223</v>
      </c>
      <c r="B28" s="44"/>
      <c r="C28" s="59"/>
      <c r="D28" s="59"/>
      <c r="E28" s="59"/>
      <c r="F28" s="59"/>
      <c r="G28" s="59"/>
      <c r="H28" s="44"/>
      <c r="I28" s="44"/>
      <c r="J28" s="44"/>
      <c r="K28" s="74"/>
    </row>
    <row r="29" ht="17.25" customHeight="1" spans="1:11">
      <c r="A29" s="55" t="s">
        <v>224</v>
      </c>
      <c r="B29" s="56">
        <f>SUM(B30:B31)</f>
        <v>0</v>
      </c>
      <c r="C29" s="56">
        <f>SUM(C30:C31)</f>
        <v>263</v>
      </c>
      <c r="D29" s="56">
        <f>B29-C29</f>
        <v>-263</v>
      </c>
      <c r="E29" s="56">
        <f>SUM(E30:E31)</f>
        <v>1369</v>
      </c>
      <c r="F29" s="56">
        <f>SUM(F30:F31)</f>
        <v>-1106</v>
      </c>
      <c r="G29" s="56">
        <f>SUM(G30:G31)</f>
        <v>0</v>
      </c>
      <c r="H29" s="56">
        <f t="shared" ref="H29:H39" si="10">SUM(B29,E29:G29)</f>
        <v>263</v>
      </c>
      <c r="I29" s="56">
        <f t="shared" ref="I29:I39" si="11">H29-B29</f>
        <v>263</v>
      </c>
      <c r="J29" s="56">
        <f t="shared" ref="J29:J39" si="12">H29-C29</f>
        <v>0</v>
      </c>
      <c r="K29" s="34"/>
    </row>
    <row r="30" ht="31.5" customHeight="1" spans="1:11">
      <c r="A30" s="62" t="s">
        <v>225</v>
      </c>
      <c r="B30" s="44"/>
      <c r="C30" s="58">
        <v>189</v>
      </c>
      <c r="D30" s="59">
        <f>B30-C30</f>
        <v>-189</v>
      </c>
      <c r="E30" s="59"/>
      <c r="F30" s="59">
        <v>189</v>
      </c>
      <c r="G30" s="59"/>
      <c r="H30" s="44">
        <f t="shared" si="10"/>
        <v>189</v>
      </c>
      <c r="I30" s="44">
        <f t="shared" si="11"/>
        <v>189</v>
      </c>
      <c r="J30" s="44">
        <f t="shared" si="12"/>
        <v>0</v>
      </c>
      <c r="K30" s="68"/>
    </row>
    <row r="31" ht="17.25" customHeight="1" spans="1:11">
      <c r="A31" s="63" t="s">
        <v>212</v>
      </c>
      <c r="B31" s="44"/>
      <c r="C31" s="58">
        <v>74</v>
      </c>
      <c r="D31" s="59">
        <f>B31-C31</f>
        <v>-74</v>
      </c>
      <c r="E31" s="59">
        <f>32+1236+101</f>
        <v>1369</v>
      </c>
      <c r="F31" s="59">
        <f>-2082+787</f>
        <v>-1295</v>
      </c>
      <c r="G31" s="59"/>
      <c r="H31" s="44">
        <f t="shared" si="10"/>
        <v>74</v>
      </c>
      <c r="I31" s="44">
        <f t="shared" si="11"/>
        <v>74</v>
      </c>
      <c r="J31" s="44">
        <f t="shared" si="12"/>
        <v>0</v>
      </c>
      <c r="K31" s="68"/>
    </row>
    <row r="32" ht="17.25" customHeight="1" spans="1:11">
      <c r="A32" s="55" t="s">
        <v>226</v>
      </c>
      <c r="B32" s="56">
        <f t="shared" ref="B32:G32" si="13">SUM(B33:B35)</f>
        <v>550</v>
      </c>
      <c r="C32" s="56">
        <f t="shared" si="13"/>
        <v>8120</v>
      </c>
      <c r="D32" s="56">
        <f t="shared" si="13"/>
        <v>-7570</v>
      </c>
      <c r="E32" s="56">
        <f t="shared" si="13"/>
        <v>696</v>
      </c>
      <c r="F32" s="56">
        <f t="shared" si="13"/>
        <v>5889</v>
      </c>
      <c r="G32" s="56">
        <f t="shared" si="13"/>
        <v>985</v>
      </c>
      <c r="H32" s="56">
        <f t="shared" si="10"/>
        <v>8120</v>
      </c>
      <c r="I32" s="56">
        <f t="shared" si="11"/>
        <v>7570</v>
      </c>
      <c r="J32" s="56">
        <f t="shared" si="12"/>
        <v>0</v>
      </c>
      <c r="K32" s="34"/>
    </row>
    <row r="33" ht="17.25" customHeight="1" spans="1:11">
      <c r="A33" s="61" t="s">
        <v>220</v>
      </c>
      <c r="B33" s="44"/>
      <c r="C33" s="59">
        <f>985</f>
        <v>985</v>
      </c>
      <c r="D33" s="59">
        <f>B33-C33</f>
        <v>-985</v>
      </c>
      <c r="E33" s="59"/>
      <c r="F33" s="59"/>
      <c r="G33" s="59">
        <v>985</v>
      </c>
      <c r="H33" s="44">
        <f t="shared" si="10"/>
        <v>985</v>
      </c>
      <c r="I33" s="44">
        <f t="shared" si="11"/>
        <v>985</v>
      </c>
      <c r="J33" s="44">
        <f t="shared" si="12"/>
        <v>0</v>
      </c>
      <c r="K33" s="68"/>
    </row>
    <row r="34" ht="17.25" customHeight="1" spans="1:11">
      <c r="A34" s="61" t="s">
        <v>227</v>
      </c>
      <c r="B34" s="44">
        <v>550</v>
      </c>
      <c r="C34" s="59">
        <v>7120</v>
      </c>
      <c r="D34" s="59">
        <f>B34-C34</f>
        <v>-6570</v>
      </c>
      <c r="E34" s="59"/>
      <c r="F34" s="59">
        <v>6570</v>
      </c>
      <c r="G34" s="59"/>
      <c r="H34" s="44">
        <f t="shared" si="10"/>
        <v>7120</v>
      </c>
      <c r="I34" s="44">
        <f t="shared" si="11"/>
        <v>6570</v>
      </c>
      <c r="J34" s="44">
        <f t="shared" si="12"/>
        <v>0</v>
      </c>
      <c r="K34" s="68"/>
    </row>
    <row r="35" ht="17.25" customHeight="1" spans="1:11">
      <c r="A35" s="61" t="s">
        <v>228</v>
      </c>
      <c r="B35" s="44"/>
      <c r="C35" s="58">
        <v>15</v>
      </c>
      <c r="D35" s="59">
        <f>B35-C35</f>
        <v>-15</v>
      </c>
      <c r="E35" s="59">
        <v>696</v>
      </c>
      <c r="F35" s="59">
        <f>-2720+2039</f>
        <v>-681</v>
      </c>
      <c r="G35" s="59"/>
      <c r="H35" s="44">
        <f t="shared" si="10"/>
        <v>15</v>
      </c>
      <c r="I35" s="44">
        <f t="shared" si="11"/>
        <v>15</v>
      </c>
      <c r="J35" s="44">
        <f t="shared" si="12"/>
        <v>0</v>
      </c>
      <c r="K35" s="72"/>
    </row>
    <row r="36" ht="17.25" customHeight="1" spans="1:11">
      <c r="A36" s="55" t="s">
        <v>229</v>
      </c>
      <c r="B36" s="56">
        <f t="shared" ref="B36:J36" si="14">SUM(B37:B38)</f>
        <v>0</v>
      </c>
      <c r="C36" s="56">
        <f t="shared" si="14"/>
        <v>5924</v>
      </c>
      <c r="D36" s="56">
        <f t="shared" si="14"/>
        <v>-5924</v>
      </c>
      <c r="E36" s="56">
        <f t="shared" si="14"/>
        <v>1560</v>
      </c>
      <c r="F36" s="56">
        <f t="shared" si="14"/>
        <v>1664</v>
      </c>
      <c r="G36" s="56">
        <f t="shared" si="14"/>
        <v>2700</v>
      </c>
      <c r="H36" s="56">
        <f t="shared" si="14"/>
        <v>5924</v>
      </c>
      <c r="I36" s="56">
        <f t="shared" si="14"/>
        <v>5924</v>
      </c>
      <c r="J36" s="56">
        <f t="shared" si="14"/>
        <v>0</v>
      </c>
      <c r="K36" s="34"/>
    </row>
    <row r="37" ht="20.25" customHeight="1" spans="1:11">
      <c r="A37" s="61" t="s">
        <v>220</v>
      </c>
      <c r="B37" s="44"/>
      <c r="C37" s="59">
        <v>2700</v>
      </c>
      <c r="D37" s="59">
        <f>B37-C37</f>
        <v>-2700</v>
      </c>
      <c r="E37" s="59"/>
      <c r="F37" s="59"/>
      <c r="G37" s="59">
        <v>2700</v>
      </c>
      <c r="H37" s="44">
        <f t="shared" ref="H37:H55" si="15">SUM(B37,E37:G37)</f>
        <v>2700</v>
      </c>
      <c r="I37" s="44">
        <f t="shared" ref="I37:I55" si="16">H37-B37</f>
        <v>2700</v>
      </c>
      <c r="J37" s="44">
        <f>H37-C37</f>
        <v>0</v>
      </c>
      <c r="K37" s="68"/>
    </row>
    <row r="38" ht="17.25" customHeight="1" spans="1:11">
      <c r="A38" s="61" t="s">
        <v>230</v>
      </c>
      <c r="B38" s="44"/>
      <c r="C38" s="58">
        <v>3224</v>
      </c>
      <c r="D38" s="59">
        <f>B38-C38</f>
        <v>-3224</v>
      </c>
      <c r="E38" s="59">
        <v>1560</v>
      </c>
      <c r="F38" s="59">
        <v>1664</v>
      </c>
      <c r="G38" s="59"/>
      <c r="H38" s="44">
        <f t="shared" si="15"/>
        <v>3224</v>
      </c>
      <c r="I38" s="44">
        <f t="shared" si="16"/>
        <v>3224</v>
      </c>
      <c r="J38" s="44">
        <f>H38-C38</f>
        <v>0</v>
      </c>
      <c r="K38" s="68" t="s">
        <v>231</v>
      </c>
    </row>
    <row r="39" ht="17.25" customHeight="1" spans="1:11">
      <c r="A39" s="55" t="s">
        <v>232</v>
      </c>
      <c r="B39" s="56">
        <f t="shared" ref="B39:G39" si="17">SUM(B40:B41)</f>
        <v>0</v>
      </c>
      <c r="C39" s="56">
        <f t="shared" si="17"/>
        <v>7928</v>
      </c>
      <c r="D39" s="56">
        <f t="shared" si="17"/>
        <v>-7928</v>
      </c>
      <c r="E39" s="56">
        <f t="shared" si="17"/>
        <v>1500</v>
      </c>
      <c r="F39" s="56">
        <f t="shared" si="17"/>
        <v>-1322</v>
      </c>
      <c r="G39" s="56">
        <f t="shared" si="17"/>
        <v>7750</v>
      </c>
      <c r="H39" s="56">
        <f t="shared" si="15"/>
        <v>7928</v>
      </c>
      <c r="I39" s="56">
        <f t="shared" si="16"/>
        <v>7928</v>
      </c>
      <c r="J39" s="56">
        <f>H39-C39</f>
        <v>0</v>
      </c>
      <c r="K39" s="71"/>
    </row>
    <row r="40" ht="17.25" customHeight="1" spans="1:11">
      <c r="A40" s="61" t="s">
        <v>220</v>
      </c>
      <c r="B40" s="44"/>
      <c r="C40" s="59">
        <v>7750</v>
      </c>
      <c r="D40" s="59">
        <f t="shared" ref="D40:D50" si="18">B40-C40</f>
        <v>-7750</v>
      </c>
      <c r="E40" s="59"/>
      <c r="F40" s="59"/>
      <c r="G40" s="59">
        <v>7750</v>
      </c>
      <c r="H40" s="44">
        <f t="shared" si="15"/>
        <v>7750</v>
      </c>
      <c r="I40" s="44">
        <f t="shared" si="16"/>
        <v>7750</v>
      </c>
      <c r="J40" s="44"/>
      <c r="K40" s="68"/>
    </row>
    <row r="41" ht="17.25" customHeight="1" spans="1:11">
      <c r="A41" s="61" t="s">
        <v>212</v>
      </c>
      <c r="B41" s="44"/>
      <c r="C41" s="58">
        <v>178</v>
      </c>
      <c r="D41" s="59">
        <f t="shared" si="18"/>
        <v>-178</v>
      </c>
      <c r="E41" s="59">
        <v>1500</v>
      </c>
      <c r="F41" s="59">
        <f>-2538+1216</f>
        <v>-1322</v>
      </c>
      <c r="G41" s="59"/>
      <c r="H41" s="44">
        <f t="shared" si="15"/>
        <v>178</v>
      </c>
      <c r="I41" s="44">
        <f t="shared" si="16"/>
        <v>178</v>
      </c>
      <c r="J41" s="44">
        <f t="shared" ref="J41:J55" si="19">H41-C41</f>
        <v>0</v>
      </c>
      <c r="K41" s="70"/>
    </row>
    <row r="42" ht="17.25" customHeight="1" spans="1:11">
      <c r="A42" s="55" t="s">
        <v>233</v>
      </c>
      <c r="B42" s="56">
        <f>SUM(B43:B46)</f>
        <v>400</v>
      </c>
      <c r="C42" s="56">
        <f>SUM(C43:C46)</f>
        <v>1762</v>
      </c>
      <c r="D42" s="56">
        <f t="shared" si="18"/>
        <v>-1362</v>
      </c>
      <c r="E42" s="56">
        <f>SUM(E43:E46)</f>
        <v>705</v>
      </c>
      <c r="F42" s="56">
        <f>SUM(F43:F46)</f>
        <v>57</v>
      </c>
      <c r="G42" s="56">
        <f>SUM(G43:G46)</f>
        <v>600</v>
      </c>
      <c r="H42" s="56">
        <f t="shared" si="15"/>
        <v>1762</v>
      </c>
      <c r="I42" s="56">
        <f t="shared" si="16"/>
        <v>1362</v>
      </c>
      <c r="J42" s="56">
        <f t="shared" si="19"/>
        <v>0</v>
      </c>
      <c r="K42" s="75"/>
    </row>
    <row r="43" ht="17.25" customHeight="1" spans="1:11">
      <c r="A43" s="64" t="s">
        <v>234</v>
      </c>
      <c r="B43" s="44"/>
      <c r="C43" s="59">
        <v>600</v>
      </c>
      <c r="D43" s="59">
        <f t="shared" si="18"/>
        <v>-600</v>
      </c>
      <c r="E43" s="59"/>
      <c r="F43" s="59"/>
      <c r="G43" s="59">
        <v>600</v>
      </c>
      <c r="H43" s="44">
        <f t="shared" si="15"/>
        <v>600</v>
      </c>
      <c r="I43" s="44">
        <f t="shared" si="16"/>
        <v>600</v>
      </c>
      <c r="J43" s="44">
        <f t="shared" si="19"/>
        <v>0</v>
      </c>
      <c r="K43" s="68"/>
    </row>
    <row r="44" ht="17.25" customHeight="1" spans="1:11">
      <c r="A44" s="64" t="s">
        <v>235</v>
      </c>
      <c r="B44" s="44"/>
      <c r="C44" s="58">
        <v>200</v>
      </c>
      <c r="D44" s="59">
        <f t="shared" si="18"/>
        <v>-200</v>
      </c>
      <c r="E44" s="59"/>
      <c r="F44" s="59">
        <v>200</v>
      </c>
      <c r="G44" s="59"/>
      <c r="H44" s="44">
        <f t="shared" si="15"/>
        <v>200</v>
      </c>
      <c r="I44" s="44">
        <f t="shared" si="16"/>
        <v>200</v>
      </c>
      <c r="J44" s="44">
        <f t="shared" si="19"/>
        <v>0</v>
      </c>
      <c r="K44" s="68"/>
    </row>
    <row r="45" ht="17.25" customHeight="1" spans="1:11">
      <c r="A45" s="64" t="s">
        <v>236</v>
      </c>
      <c r="B45" s="44">
        <v>400</v>
      </c>
      <c r="C45" s="59">
        <v>490</v>
      </c>
      <c r="D45" s="59">
        <f t="shared" si="18"/>
        <v>-90</v>
      </c>
      <c r="E45" s="59"/>
      <c r="F45" s="59">
        <v>90</v>
      </c>
      <c r="G45" s="59"/>
      <c r="H45" s="44">
        <f t="shared" si="15"/>
        <v>490</v>
      </c>
      <c r="I45" s="44">
        <f t="shared" si="16"/>
        <v>90</v>
      </c>
      <c r="J45" s="44">
        <f t="shared" si="19"/>
        <v>0</v>
      </c>
      <c r="K45" s="68"/>
    </row>
    <row r="46" ht="17.25" customHeight="1" spans="1:11">
      <c r="A46" s="64" t="s">
        <v>237</v>
      </c>
      <c r="B46" s="44"/>
      <c r="C46" s="58">
        <v>472</v>
      </c>
      <c r="D46" s="59">
        <f t="shared" si="18"/>
        <v>-472</v>
      </c>
      <c r="E46" s="59">
        <f>586+13+106</f>
        <v>705</v>
      </c>
      <c r="F46" s="59">
        <f>-1418+1185</f>
        <v>-233</v>
      </c>
      <c r="G46" s="59"/>
      <c r="H46" s="44">
        <f t="shared" si="15"/>
        <v>472</v>
      </c>
      <c r="I46" s="44">
        <f t="shared" si="16"/>
        <v>472</v>
      </c>
      <c r="J46" s="44">
        <f t="shared" si="19"/>
        <v>0</v>
      </c>
      <c r="K46" s="68"/>
    </row>
    <row r="47" ht="17.25" customHeight="1" spans="1:11">
      <c r="A47" s="55" t="s">
        <v>238</v>
      </c>
      <c r="B47" s="56">
        <f>SUM(B48:B50)</f>
        <v>0</v>
      </c>
      <c r="C47" s="56">
        <f>SUM(C48:C49)</f>
        <v>2050</v>
      </c>
      <c r="D47" s="56">
        <f t="shared" si="18"/>
        <v>-2050</v>
      </c>
      <c r="E47" s="56">
        <f>SUM(E48:E50)</f>
        <v>70</v>
      </c>
      <c r="F47" s="56">
        <f>SUM(F48:F50)</f>
        <v>-20</v>
      </c>
      <c r="G47" s="56">
        <f>SUM(G48:G49)</f>
        <v>2000</v>
      </c>
      <c r="H47" s="56">
        <f t="shared" si="15"/>
        <v>2050</v>
      </c>
      <c r="I47" s="56">
        <f t="shared" si="16"/>
        <v>2050</v>
      </c>
      <c r="J47" s="56">
        <f t="shared" si="19"/>
        <v>0</v>
      </c>
      <c r="K47" s="75"/>
    </row>
    <row r="48" ht="17.25" customHeight="1" spans="1:11">
      <c r="A48" s="61" t="s">
        <v>239</v>
      </c>
      <c r="B48" s="44"/>
      <c r="C48" s="58">
        <v>50</v>
      </c>
      <c r="D48" s="59">
        <f t="shared" si="18"/>
        <v>-50</v>
      </c>
      <c r="E48" s="59"/>
      <c r="F48" s="59">
        <v>50</v>
      </c>
      <c r="G48" s="59"/>
      <c r="H48" s="44">
        <f t="shared" si="15"/>
        <v>50</v>
      </c>
      <c r="I48" s="44">
        <f t="shared" si="16"/>
        <v>50</v>
      </c>
      <c r="J48" s="44">
        <f t="shared" si="19"/>
        <v>0</v>
      </c>
      <c r="K48" s="72"/>
    </row>
    <row r="49" ht="17.25" customHeight="1" spans="1:11">
      <c r="A49" s="61" t="s">
        <v>240</v>
      </c>
      <c r="B49" s="44"/>
      <c r="C49" s="59">
        <v>2000</v>
      </c>
      <c r="D49" s="59">
        <f t="shared" si="18"/>
        <v>-2000</v>
      </c>
      <c r="E49" s="59"/>
      <c r="F49" s="59"/>
      <c r="G49" s="59">
        <v>2000</v>
      </c>
      <c r="H49" s="44">
        <f t="shared" si="15"/>
        <v>2000</v>
      </c>
      <c r="I49" s="44">
        <f t="shared" si="16"/>
        <v>2000</v>
      </c>
      <c r="J49" s="44">
        <f t="shared" si="19"/>
        <v>0</v>
      </c>
      <c r="K49" s="72"/>
    </row>
    <row r="50" ht="17.25" customHeight="1" spans="1:11">
      <c r="A50" s="61" t="s">
        <v>228</v>
      </c>
      <c r="B50" s="44"/>
      <c r="C50" s="59"/>
      <c r="D50" s="59">
        <f t="shared" si="18"/>
        <v>0</v>
      </c>
      <c r="E50" s="59">
        <v>70</v>
      </c>
      <c r="F50" s="59">
        <f>-740+670</f>
        <v>-70</v>
      </c>
      <c r="G50" s="59"/>
      <c r="H50" s="44">
        <f t="shared" si="15"/>
        <v>0</v>
      </c>
      <c r="I50" s="44">
        <f t="shared" si="16"/>
        <v>0</v>
      </c>
      <c r="J50" s="44">
        <f t="shared" si="19"/>
        <v>0</v>
      </c>
      <c r="K50" s="72"/>
    </row>
    <row r="51" ht="17.25" customHeight="1" spans="1:11">
      <c r="A51" s="55" t="s">
        <v>241</v>
      </c>
      <c r="B51" s="56">
        <f t="shared" ref="B51:G51" si="20">SUM(B52:B53)</f>
        <v>12000</v>
      </c>
      <c r="C51" s="56">
        <f t="shared" si="20"/>
        <v>13954</v>
      </c>
      <c r="D51" s="56">
        <f t="shared" si="20"/>
        <v>-1954</v>
      </c>
      <c r="E51" s="56">
        <f t="shared" si="20"/>
        <v>164</v>
      </c>
      <c r="F51" s="56">
        <f t="shared" si="20"/>
        <v>1790</v>
      </c>
      <c r="G51" s="56">
        <f t="shared" si="20"/>
        <v>0</v>
      </c>
      <c r="H51" s="56">
        <f t="shared" si="15"/>
        <v>13954</v>
      </c>
      <c r="I51" s="56">
        <f t="shared" si="16"/>
        <v>1954</v>
      </c>
      <c r="J51" s="56">
        <f t="shared" si="19"/>
        <v>0</v>
      </c>
      <c r="K51" s="56"/>
    </row>
    <row r="52" ht="17.25" customHeight="1" spans="1:11">
      <c r="A52" s="60" t="s">
        <v>242</v>
      </c>
      <c r="B52" s="44">
        <v>12000</v>
      </c>
      <c r="C52" s="59">
        <v>13954</v>
      </c>
      <c r="D52" s="59">
        <f>B52-C52</f>
        <v>-1954</v>
      </c>
      <c r="E52" s="59"/>
      <c r="F52" s="59">
        <v>1954</v>
      </c>
      <c r="G52" s="59"/>
      <c r="H52" s="44">
        <f t="shared" si="15"/>
        <v>13954</v>
      </c>
      <c r="I52" s="44">
        <f t="shared" si="16"/>
        <v>1954</v>
      </c>
      <c r="J52" s="44">
        <f t="shared" si="19"/>
        <v>0</v>
      </c>
      <c r="K52" s="68"/>
    </row>
    <row r="53" ht="24" customHeight="1" spans="1:11">
      <c r="A53" s="60" t="s">
        <v>243</v>
      </c>
      <c r="B53" s="44"/>
      <c r="C53" s="59"/>
      <c r="D53" s="59">
        <f>B53-C53</f>
        <v>0</v>
      </c>
      <c r="E53" s="59">
        <f>4+160</f>
        <v>164</v>
      </c>
      <c r="F53" s="59">
        <f>-464+300</f>
        <v>-164</v>
      </c>
      <c r="G53" s="59"/>
      <c r="H53" s="44">
        <f t="shared" si="15"/>
        <v>0</v>
      </c>
      <c r="I53" s="44">
        <f t="shared" si="16"/>
        <v>0</v>
      </c>
      <c r="J53" s="44">
        <f t="shared" si="19"/>
        <v>0</v>
      </c>
      <c r="K53" s="72"/>
    </row>
    <row r="54" ht="17.25" customHeight="1" spans="1:11">
      <c r="A54" s="55" t="s">
        <v>244</v>
      </c>
      <c r="B54" s="56">
        <f t="shared" ref="B54:G54" si="21">SUM(B55:B56)</f>
        <v>0</v>
      </c>
      <c r="C54" s="56">
        <f t="shared" si="21"/>
        <v>0</v>
      </c>
      <c r="D54" s="56">
        <f t="shared" si="21"/>
        <v>0</v>
      </c>
      <c r="E54" s="56">
        <f t="shared" si="21"/>
        <v>0</v>
      </c>
      <c r="F54" s="56">
        <f t="shared" si="21"/>
        <v>0</v>
      </c>
      <c r="G54" s="56">
        <f t="shared" si="21"/>
        <v>0</v>
      </c>
      <c r="H54" s="56">
        <f t="shared" si="15"/>
        <v>0</v>
      </c>
      <c r="I54" s="56">
        <f t="shared" si="16"/>
        <v>0</v>
      </c>
      <c r="J54" s="56">
        <f t="shared" si="19"/>
        <v>0</v>
      </c>
      <c r="K54" s="71"/>
    </row>
    <row r="55" ht="17.25" customHeight="1" spans="1:11">
      <c r="A55" s="60" t="s">
        <v>245</v>
      </c>
      <c r="B55" s="44"/>
      <c r="C55" s="59"/>
      <c r="D55" s="59">
        <f>B55-C55</f>
        <v>0</v>
      </c>
      <c r="E55" s="59"/>
      <c r="F55" s="59"/>
      <c r="G55" s="59"/>
      <c r="H55" s="44">
        <f t="shared" si="15"/>
        <v>0</v>
      </c>
      <c r="I55" s="44">
        <f t="shared" si="16"/>
        <v>0</v>
      </c>
      <c r="J55" s="44">
        <f t="shared" si="19"/>
        <v>0</v>
      </c>
      <c r="K55" s="70"/>
    </row>
    <row r="56" ht="17.25" customHeight="1" spans="1:11">
      <c r="A56" s="60" t="s">
        <v>246</v>
      </c>
      <c r="B56" s="44"/>
      <c r="C56" s="59"/>
      <c r="D56" s="59">
        <f t="shared" ref="D56:D62" si="22">B56-C56</f>
        <v>0</v>
      </c>
      <c r="E56" s="59"/>
      <c r="F56" s="59"/>
      <c r="G56" s="59"/>
      <c r="H56" s="44">
        <f t="shared" ref="H56:H62" si="23">SUM(B56,E56:G56)</f>
        <v>0</v>
      </c>
      <c r="I56" s="44">
        <f t="shared" ref="I56:I62" si="24">H56-B56</f>
        <v>0</v>
      </c>
      <c r="J56" s="44">
        <f t="shared" ref="J56:J62" si="25">H56-C56</f>
        <v>0</v>
      </c>
      <c r="K56" s="68"/>
    </row>
    <row r="57" ht="17.25" customHeight="1" spans="1:11">
      <c r="A57" s="55" t="s">
        <v>247</v>
      </c>
      <c r="B57" s="56">
        <f t="shared" ref="B57:J57" si="26">SUM(B58:B59)</f>
        <v>0</v>
      </c>
      <c r="C57" s="56">
        <f t="shared" si="26"/>
        <v>0</v>
      </c>
      <c r="D57" s="56">
        <f t="shared" si="26"/>
        <v>0</v>
      </c>
      <c r="E57" s="56">
        <f t="shared" si="26"/>
        <v>4400</v>
      </c>
      <c r="F57" s="56">
        <f t="shared" si="26"/>
        <v>-4400</v>
      </c>
      <c r="G57" s="56">
        <f t="shared" si="26"/>
        <v>0</v>
      </c>
      <c r="H57" s="56">
        <f t="shared" si="26"/>
        <v>0</v>
      </c>
      <c r="I57" s="56">
        <f t="shared" si="26"/>
        <v>0</v>
      </c>
      <c r="J57" s="56">
        <f t="shared" si="26"/>
        <v>0</v>
      </c>
      <c r="K57" s="75"/>
    </row>
    <row r="58" ht="17.25" customHeight="1" spans="1:11">
      <c r="A58" s="60" t="s">
        <v>248</v>
      </c>
      <c r="B58" s="44"/>
      <c r="C58" s="59"/>
      <c r="D58" s="59">
        <f t="shared" si="22"/>
        <v>0</v>
      </c>
      <c r="E58" s="59"/>
      <c r="F58" s="59"/>
      <c r="G58" s="59"/>
      <c r="H58" s="44">
        <f t="shared" si="23"/>
        <v>0</v>
      </c>
      <c r="I58" s="44">
        <f t="shared" si="24"/>
        <v>0</v>
      </c>
      <c r="J58" s="44">
        <f t="shared" si="25"/>
        <v>0</v>
      </c>
      <c r="K58" s="68"/>
    </row>
    <row r="59" ht="17.25" customHeight="1" spans="1:11">
      <c r="A59" s="60" t="s">
        <v>212</v>
      </c>
      <c r="B59" s="44"/>
      <c r="C59" s="59"/>
      <c r="D59" s="59">
        <f t="shared" si="22"/>
        <v>0</v>
      </c>
      <c r="E59" s="59">
        <v>4400</v>
      </c>
      <c r="F59" s="59">
        <f>-4600+200</f>
        <v>-4400</v>
      </c>
      <c r="G59" s="59"/>
      <c r="H59" s="44">
        <f t="shared" si="23"/>
        <v>0</v>
      </c>
      <c r="I59" s="44">
        <f t="shared" si="24"/>
        <v>0</v>
      </c>
      <c r="J59" s="44">
        <f t="shared" si="25"/>
        <v>0</v>
      </c>
      <c r="K59" s="68"/>
    </row>
    <row r="60" s="1" customFormat="1" ht="17.25" customHeight="1" spans="1:11">
      <c r="A60" s="55" t="s">
        <v>249</v>
      </c>
      <c r="B60" s="56">
        <f t="shared" ref="B60:J60" si="27">SUM(B61:B62)</f>
        <v>0</v>
      </c>
      <c r="C60" s="56">
        <f t="shared" si="27"/>
        <v>0</v>
      </c>
      <c r="D60" s="56">
        <f t="shared" si="27"/>
        <v>0</v>
      </c>
      <c r="E60" s="56">
        <f t="shared" si="27"/>
        <v>1818</v>
      </c>
      <c r="F60" s="56">
        <f t="shared" si="27"/>
        <v>-1818</v>
      </c>
      <c r="G60" s="56">
        <f t="shared" si="27"/>
        <v>0</v>
      </c>
      <c r="H60" s="56">
        <f t="shared" si="27"/>
        <v>0</v>
      </c>
      <c r="I60" s="56">
        <f t="shared" si="27"/>
        <v>0</v>
      </c>
      <c r="J60" s="56">
        <f t="shared" si="27"/>
        <v>0</v>
      </c>
      <c r="K60" s="75"/>
    </row>
    <row r="61" s="1" customFormat="1" ht="17.25" customHeight="1" spans="1:11">
      <c r="A61" s="60" t="s">
        <v>248</v>
      </c>
      <c r="B61" s="44"/>
      <c r="C61" s="59"/>
      <c r="D61" s="59">
        <f t="shared" si="22"/>
        <v>0</v>
      </c>
      <c r="E61" s="59"/>
      <c r="F61" s="59"/>
      <c r="G61" s="59"/>
      <c r="H61" s="44">
        <f t="shared" si="23"/>
        <v>0</v>
      </c>
      <c r="I61" s="44">
        <f t="shared" si="24"/>
        <v>0</v>
      </c>
      <c r="J61" s="44">
        <f t="shared" si="25"/>
        <v>0</v>
      </c>
      <c r="K61" s="68"/>
    </row>
    <row r="62" s="1" customFormat="1" ht="17.25" customHeight="1" spans="1:11">
      <c r="A62" s="60" t="s">
        <v>212</v>
      </c>
      <c r="B62" s="44"/>
      <c r="C62" s="59"/>
      <c r="D62" s="59">
        <f t="shared" si="22"/>
        <v>0</v>
      </c>
      <c r="E62" s="59">
        <v>1818</v>
      </c>
      <c r="F62" s="59">
        <v>-1818</v>
      </c>
      <c r="G62" s="59"/>
      <c r="H62" s="44">
        <f t="shared" si="23"/>
        <v>0</v>
      </c>
      <c r="I62" s="44">
        <f t="shared" si="24"/>
        <v>0</v>
      </c>
      <c r="J62" s="44">
        <f t="shared" si="25"/>
        <v>0</v>
      </c>
      <c r="K62" s="68"/>
    </row>
    <row r="63" ht="17.25" customHeight="1" spans="1:11">
      <c r="A63" s="55" t="s">
        <v>250</v>
      </c>
      <c r="B63" s="56">
        <f>SUM(B64:B65)</f>
        <v>0</v>
      </c>
      <c r="C63" s="56">
        <f t="shared" ref="C63:J63" si="28">SUM(C64:C65)</f>
        <v>70</v>
      </c>
      <c r="D63" s="56">
        <f t="shared" si="28"/>
        <v>-70</v>
      </c>
      <c r="E63" s="56">
        <f t="shared" si="28"/>
        <v>0</v>
      </c>
      <c r="F63" s="56">
        <f t="shared" si="28"/>
        <v>70</v>
      </c>
      <c r="G63" s="56">
        <f t="shared" si="28"/>
        <v>0</v>
      </c>
      <c r="H63" s="56">
        <f t="shared" si="28"/>
        <v>70</v>
      </c>
      <c r="I63" s="56">
        <f t="shared" si="28"/>
        <v>70</v>
      </c>
      <c r="J63" s="56">
        <f t="shared" si="28"/>
        <v>0</v>
      </c>
      <c r="K63" s="71"/>
    </row>
    <row r="64" ht="17.25" customHeight="1" spans="1:11">
      <c r="A64" s="60" t="s">
        <v>248</v>
      </c>
      <c r="B64" s="59"/>
      <c r="C64" s="59"/>
      <c r="D64" s="59">
        <f>B64-C64</f>
        <v>0</v>
      </c>
      <c r="E64" s="59"/>
      <c r="F64" s="59"/>
      <c r="G64" s="59"/>
      <c r="H64" s="44">
        <f>SUM(B64,E64:G64)</f>
        <v>0</v>
      </c>
      <c r="I64" s="44">
        <f>H64-B64</f>
        <v>0</v>
      </c>
      <c r="J64" s="44">
        <f>H64-C64</f>
        <v>0</v>
      </c>
      <c r="K64" s="76"/>
    </row>
    <row r="65" ht="17.25" customHeight="1" spans="1:11">
      <c r="A65" s="60" t="s">
        <v>251</v>
      </c>
      <c r="B65" s="59"/>
      <c r="C65" s="58">
        <v>70</v>
      </c>
      <c r="D65" s="59">
        <f>B65-C65</f>
        <v>-70</v>
      </c>
      <c r="E65" s="59"/>
      <c r="F65" s="59">
        <v>70</v>
      </c>
      <c r="G65" s="59"/>
      <c r="H65" s="44">
        <f>SUM(B65,E65:G65)</f>
        <v>70</v>
      </c>
      <c r="I65" s="44">
        <f>H65-B65</f>
        <v>70</v>
      </c>
      <c r="J65" s="44">
        <f>H65-C65</f>
        <v>0</v>
      </c>
      <c r="K65" s="76"/>
    </row>
    <row r="66" ht="17.25" customHeight="1" spans="1:11">
      <c r="A66" s="60" t="s">
        <v>252</v>
      </c>
      <c r="B66" s="59"/>
      <c r="C66" s="59"/>
      <c r="D66" s="59"/>
      <c r="E66" s="59"/>
      <c r="F66" s="59"/>
      <c r="G66" s="59"/>
      <c r="H66" s="44"/>
      <c r="I66" s="44"/>
      <c r="J66" s="44"/>
      <c r="K66" s="76"/>
    </row>
    <row r="67" ht="17.25" customHeight="1" spans="1:11">
      <c r="A67" s="55" t="s">
        <v>253</v>
      </c>
      <c r="B67" s="77">
        <f>SUM(B68,B69)</f>
        <v>0</v>
      </c>
      <c r="C67" s="77">
        <f t="shared" ref="C67:J67" si="29">SUM(C68,C69)</f>
        <v>136</v>
      </c>
      <c r="D67" s="77">
        <f t="shared" si="29"/>
        <v>-136</v>
      </c>
      <c r="E67" s="77">
        <f t="shared" si="29"/>
        <v>678</v>
      </c>
      <c r="F67" s="77">
        <f t="shared" si="29"/>
        <v>-542</v>
      </c>
      <c r="G67" s="77">
        <f t="shared" si="29"/>
        <v>0</v>
      </c>
      <c r="H67" s="77">
        <f t="shared" si="29"/>
        <v>136</v>
      </c>
      <c r="I67" s="77">
        <f t="shared" si="29"/>
        <v>136</v>
      </c>
      <c r="J67" s="77">
        <f t="shared" si="29"/>
        <v>0</v>
      </c>
      <c r="K67" s="55"/>
    </row>
    <row r="68" ht="17.25" customHeight="1" spans="1:11">
      <c r="A68" s="60" t="s">
        <v>254</v>
      </c>
      <c r="B68" s="59"/>
      <c r="C68" s="58">
        <v>59</v>
      </c>
      <c r="D68" s="59">
        <f>B68-C68</f>
        <v>-59</v>
      </c>
      <c r="E68" s="59"/>
      <c r="F68" s="59">
        <v>59</v>
      </c>
      <c r="G68" s="59"/>
      <c r="H68" s="44">
        <f>SUM(B68,E68:G68)</f>
        <v>59</v>
      </c>
      <c r="I68" s="44">
        <f>H68-B68</f>
        <v>59</v>
      </c>
      <c r="J68" s="44">
        <f>H68-C68</f>
        <v>0</v>
      </c>
      <c r="K68" s="76"/>
    </row>
    <row r="69" ht="17.25" customHeight="1" spans="1:11">
      <c r="A69" s="60" t="s">
        <v>255</v>
      </c>
      <c r="B69" s="59"/>
      <c r="C69" s="58">
        <v>77</v>
      </c>
      <c r="D69" s="59">
        <f>B69-C69</f>
        <v>-77</v>
      </c>
      <c r="E69" s="59">
        <f>200+478</f>
        <v>678</v>
      </c>
      <c r="F69" s="59">
        <v>-601</v>
      </c>
      <c r="G69" s="59"/>
      <c r="H69" s="44">
        <f>SUM(B69,E69:G69)</f>
        <v>77</v>
      </c>
      <c r="I69" s="44">
        <f>H69-B69</f>
        <v>77</v>
      </c>
      <c r="J69" s="44">
        <f>H69-C69</f>
        <v>0</v>
      </c>
      <c r="K69" s="76"/>
    </row>
    <row r="70" ht="17.25" customHeight="1" spans="1:11">
      <c r="A70" s="55" t="s">
        <v>256</v>
      </c>
      <c r="B70" s="56"/>
      <c r="C70" s="56"/>
      <c r="D70" s="56">
        <f>B70-C70</f>
        <v>0</v>
      </c>
      <c r="E70" s="56"/>
      <c r="F70" s="56"/>
      <c r="G70" s="56"/>
      <c r="H70" s="56">
        <f>SUM(B70,E70:G70)</f>
        <v>0</v>
      </c>
      <c r="I70" s="56">
        <f>H70-B70</f>
        <v>0</v>
      </c>
      <c r="J70" s="56">
        <f>H70-C70</f>
        <v>0</v>
      </c>
      <c r="K70" s="71"/>
    </row>
    <row r="71" ht="17.25" customHeight="1" spans="1:11">
      <c r="A71" s="55" t="s">
        <v>257</v>
      </c>
      <c r="B71" s="56">
        <f t="shared" ref="B71:J71" si="30">SUM(B72:B74)</f>
        <v>17118</v>
      </c>
      <c r="C71" s="56">
        <f t="shared" si="30"/>
        <v>27225</v>
      </c>
      <c r="D71" s="56">
        <f t="shared" si="30"/>
        <v>-10107</v>
      </c>
      <c r="E71" s="56">
        <f t="shared" si="30"/>
        <v>0</v>
      </c>
      <c r="F71" s="56">
        <f t="shared" si="30"/>
        <v>10107</v>
      </c>
      <c r="G71" s="56">
        <f t="shared" si="30"/>
        <v>0</v>
      </c>
      <c r="H71" s="56">
        <f t="shared" si="30"/>
        <v>27225</v>
      </c>
      <c r="I71" s="56">
        <f t="shared" si="30"/>
        <v>10107</v>
      </c>
      <c r="J71" s="56">
        <f t="shared" si="30"/>
        <v>0</v>
      </c>
      <c r="K71" s="56"/>
    </row>
    <row r="72" ht="17.25" customHeight="1" spans="1:11">
      <c r="A72" s="78" t="s">
        <v>258</v>
      </c>
      <c r="B72" s="44">
        <v>12118</v>
      </c>
      <c r="C72" s="59">
        <f>7+27218</f>
        <v>27225</v>
      </c>
      <c r="D72" s="59">
        <f>B72-C72</f>
        <v>-15107</v>
      </c>
      <c r="E72" s="59"/>
      <c r="F72" s="59">
        <f>7+15100</f>
        <v>15107</v>
      </c>
      <c r="G72" s="59"/>
      <c r="H72" s="44">
        <f>SUM(B72,E72:G72)</f>
        <v>27225</v>
      </c>
      <c r="I72" s="44">
        <f>H72-B72</f>
        <v>15107</v>
      </c>
      <c r="J72" s="44">
        <f>H72-C72</f>
        <v>0</v>
      </c>
      <c r="K72" s="85"/>
    </row>
    <row r="73" ht="17.25" customHeight="1" spans="1:11">
      <c r="A73" s="78" t="s">
        <v>259</v>
      </c>
      <c r="B73" s="44">
        <v>5000</v>
      </c>
      <c r="C73" s="59"/>
      <c r="D73" s="59">
        <f>B73-C73</f>
        <v>5000</v>
      </c>
      <c r="E73" s="79"/>
      <c r="F73" s="59">
        <v>-5000</v>
      </c>
      <c r="G73" s="59"/>
      <c r="H73" s="44">
        <v>0</v>
      </c>
      <c r="I73" s="44">
        <f>H73-B73</f>
        <v>-5000</v>
      </c>
      <c r="J73" s="44">
        <f>H73-C73</f>
        <v>0</v>
      </c>
      <c r="K73" s="86"/>
    </row>
    <row r="74" ht="17.25" customHeight="1" spans="1:11">
      <c r="A74" s="78" t="s">
        <v>260</v>
      </c>
      <c r="B74" s="44"/>
      <c r="C74" s="59"/>
      <c r="D74" s="59">
        <f>B74-C74</f>
        <v>0</v>
      </c>
      <c r="E74" s="80"/>
      <c r="F74" s="59"/>
      <c r="G74" s="81"/>
      <c r="H74" s="44">
        <f>SUM(B74,E74:G74)</f>
        <v>0</v>
      </c>
      <c r="I74" s="44">
        <f>H74-B74</f>
        <v>0</v>
      </c>
      <c r="J74" s="44">
        <f>H74-C74</f>
        <v>0</v>
      </c>
      <c r="K74" s="68"/>
    </row>
    <row r="75" spans="3:7">
      <c r="C75" s="82" t="s">
        <v>117</v>
      </c>
      <c r="D75" s="82"/>
      <c r="E75" s="82"/>
      <c r="F75" s="83"/>
      <c r="G75" s="82"/>
    </row>
    <row r="76" spans="3:7">
      <c r="C76" s="82"/>
      <c r="D76" s="82"/>
      <c r="E76" s="82"/>
      <c r="F76" s="82"/>
      <c r="G76" s="82"/>
    </row>
    <row r="77" spans="3:7">
      <c r="C77" s="82"/>
      <c r="D77" s="82"/>
      <c r="E77" s="82"/>
      <c r="F77" s="82"/>
      <c r="G77" s="82"/>
    </row>
    <row r="78" spans="2:7">
      <c r="B78" s="2" t="s">
        <v>261</v>
      </c>
      <c r="C78" s="84" t="e">
        <f>SUM(C59,C55,C53,C69,#REF!,C46,C41,C38,C35,C31,C26,C22,C16,C13,C12)</f>
        <v>#REF!</v>
      </c>
      <c r="D78" s="82"/>
      <c r="E78" s="84"/>
      <c r="F78" s="82"/>
      <c r="G78" s="82"/>
    </row>
  </sheetData>
  <autoFilter ref="A7:K75">
    <extLst/>
  </autoFilter>
  <mergeCells count="5">
    <mergeCell ref="A1:K1"/>
    <mergeCell ref="B3:D3"/>
    <mergeCell ref="E3:J3"/>
    <mergeCell ref="A3:A4"/>
    <mergeCell ref="K3:K4"/>
  </mergeCells>
  <pageMargins left="0.984027777777778" right="0" top="0.511805555555556" bottom="0.393055555555556" header="0.511805555555556" footer="0.313888888888889"/>
  <pageSetup paperSize="9" scale="85" orientation="landscape" horizontalDpi="1200" verticalDpi="1200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R45"/>
  <sheetViews>
    <sheetView topLeftCell="A22" workbookViewId="0">
      <selection activeCell="E5" sqref="E5"/>
    </sheetView>
  </sheetViews>
  <sheetFormatPr defaultColWidth="9" defaultRowHeight="12.75"/>
  <cols>
    <col min="1" max="1" width="27.875" style="1" customWidth="1"/>
    <col min="2" max="2" width="8.875" style="2" customWidth="1"/>
    <col min="3" max="4" width="9.25" style="1" customWidth="1"/>
    <col min="5" max="6" width="16.5" style="3" customWidth="1"/>
    <col min="7" max="7" width="10.375" style="3" hidden="1" customWidth="1"/>
    <col min="8" max="8" width="8.875" style="1" customWidth="1"/>
    <col min="9" max="9" width="2.375" style="1" customWidth="1"/>
    <col min="10" max="10" width="9.5" style="3" customWidth="1"/>
    <col min="11" max="16383" width="9" style="1"/>
  </cols>
  <sheetData>
    <row r="1" ht="21.75" customHeight="1" spans="1:9">
      <c r="A1" s="4" t="s">
        <v>262</v>
      </c>
      <c r="B1" s="4"/>
      <c r="C1" s="4"/>
      <c r="D1" s="4"/>
      <c r="E1" s="4"/>
      <c r="F1" s="4"/>
      <c r="G1" s="4"/>
      <c r="H1" s="4"/>
      <c r="I1" s="4"/>
    </row>
    <row r="2" ht="15.75" customHeight="1" spans="1:8">
      <c r="A2" s="2" t="s">
        <v>1</v>
      </c>
      <c r="H2" s="2" t="s">
        <v>119</v>
      </c>
    </row>
    <row r="3" ht="14.25" customHeight="1" spans="1:9">
      <c r="A3" s="5" t="s">
        <v>263</v>
      </c>
      <c r="B3" s="6" t="s">
        <v>264</v>
      </c>
      <c r="C3" s="6" t="s">
        <v>265</v>
      </c>
      <c r="D3" s="6" t="s">
        <v>266</v>
      </c>
      <c r="E3" s="7" t="s">
        <v>267</v>
      </c>
      <c r="F3" s="7"/>
      <c r="G3" s="7"/>
      <c r="H3" s="7"/>
      <c r="I3" s="8"/>
    </row>
    <row r="4" ht="29" customHeight="1" spans="1:14">
      <c r="A4" s="9"/>
      <c r="B4" s="10"/>
      <c r="C4" s="10"/>
      <c r="D4" s="10"/>
      <c r="E4" s="11" t="s">
        <v>268</v>
      </c>
      <c r="F4" s="11" t="s">
        <v>269</v>
      </c>
      <c r="G4" s="11" t="s">
        <v>270</v>
      </c>
      <c r="H4" s="11" t="s">
        <v>271</v>
      </c>
      <c r="I4" s="12"/>
      <c r="N4" s="1">
        <f>L9/L6</f>
        <v>0.605655261459006</v>
      </c>
    </row>
    <row r="5" ht="17.25" customHeight="1" spans="1:12">
      <c r="A5" s="13" t="s">
        <v>272</v>
      </c>
      <c r="B5" s="14">
        <f t="shared" ref="B5:F5" si="0">SUM(B6:B7)</f>
        <v>212300</v>
      </c>
      <c r="C5" s="14">
        <f t="shared" si="0"/>
        <v>173227.5</v>
      </c>
      <c r="D5" s="14">
        <f t="shared" si="0"/>
        <v>173227.5</v>
      </c>
      <c r="E5" s="14">
        <f t="shared" si="0"/>
        <v>202000</v>
      </c>
      <c r="F5" s="14">
        <f t="shared" si="0"/>
        <v>202000</v>
      </c>
      <c r="G5" s="15">
        <f t="shared" ref="G5:G35" si="1">E5-B5</f>
        <v>-10300</v>
      </c>
      <c r="H5" s="16">
        <f t="shared" ref="H5:H27" si="2">E5/J5-1</f>
        <v>-0.00304761434723066</v>
      </c>
      <c r="I5" s="17"/>
      <c r="J5" s="14">
        <f>SUM(J6:J7)</f>
        <v>202617.5</v>
      </c>
      <c r="L5" s="31">
        <f t="shared" ref="L5:L27" si="3">E5-D5</f>
        <v>28772.5</v>
      </c>
    </row>
    <row r="6" ht="17.25" customHeight="1" spans="1:15">
      <c r="A6" s="18" t="s">
        <v>273</v>
      </c>
      <c r="B6" s="19">
        <f t="shared" ref="B6:F6" si="4">SUM(B9,B30)</f>
        <v>172300</v>
      </c>
      <c r="C6" s="19">
        <f t="shared" si="4"/>
        <v>122337.5</v>
      </c>
      <c r="D6" s="19">
        <f t="shared" si="4"/>
        <v>122337.5</v>
      </c>
      <c r="E6" s="19">
        <f t="shared" si="4"/>
        <v>141700</v>
      </c>
      <c r="F6" s="19">
        <f t="shared" si="4"/>
        <v>141700</v>
      </c>
      <c r="G6" s="20">
        <f t="shared" si="1"/>
        <v>-30600</v>
      </c>
      <c r="H6" s="21">
        <f t="shared" si="2"/>
        <v>-0.139342146421164</v>
      </c>
      <c r="I6" s="22"/>
      <c r="J6" s="19">
        <f>SUM(J9,J30)</f>
        <v>164641.5</v>
      </c>
      <c r="L6" s="31">
        <f t="shared" si="3"/>
        <v>19362.5</v>
      </c>
      <c r="O6" s="31">
        <f t="shared" ref="O6:O13" si="5">E6-D6</f>
        <v>19362.5</v>
      </c>
    </row>
    <row r="7" ht="17.25" customHeight="1" spans="1:15">
      <c r="A7" s="18" t="s">
        <v>274</v>
      </c>
      <c r="B7" s="19">
        <f t="shared" ref="B7:F7" si="6">SUM(B21:B23,B25:B29)-B24</f>
        <v>40000</v>
      </c>
      <c r="C7" s="19">
        <f t="shared" si="6"/>
        <v>50890</v>
      </c>
      <c r="D7" s="19">
        <f t="shared" si="6"/>
        <v>50890</v>
      </c>
      <c r="E7" s="19">
        <f t="shared" si="6"/>
        <v>60300</v>
      </c>
      <c r="F7" s="19">
        <f t="shared" si="6"/>
        <v>60300</v>
      </c>
      <c r="G7" s="20">
        <f t="shared" si="1"/>
        <v>20300</v>
      </c>
      <c r="H7" s="21">
        <f t="shared" si="2"/>
        <v>0.587844954708237</v>
      </c>
      <c r="I7" s="23"/>
      <c r="J7" s="19">
        <f>SUM(J21:J23,J25:J29)-J24</f>
        <v>37976</v>
      </c>
      <c r="L7" s="31">
        <f t="shared" si="3"/>
        <v>9410</v>
      </c>
      <c r="O7" s="31">
        <f t="shared" si="5"/>
        <v>9410</v>
      </c>
    </row>
    <row r="8" ht="17.25" customHeight="1" spans="1:18">
      <c r="A8" s="13" t="s">
        <v>275</v>
      </c>
      <c r="B8" s="14">
        <f t="shared" ref="B8:F8" si="7">SUM(B9:B10)</f>
        <v>137900</v>
      </c>
      <c r="C8" s="14">
        <f t="shared" si="7"/>
        <v>116763</v>
      </c>
      <c r="D8" s="14">
        <f t="shared" si="7"/>
        <v>116763</v>
      </c>
      <c r="E8" s="14">
        <f t="shared" si="7"/>
        <v>137900</v>
      </c>
      <c r="F8" s="14">
        <f t="shared" si="7"/>
        <v>137900</v>
      </c>
      <c r="G8" s="15">
        <f t="shared" si="1"/>
        <v>0</v>
      </c>
      <c r="H8" s="16">
        <f t="shared" si="2"/>
        <v>0.0451403625780635</v>
      </c>
      <c r="I8" s="24"/>
      <c r="J8" s="14">
        <f>SUM(J9:J10)</f>
        <v>131944</v>
      </c>
      <c r="L8" s="31">
        <f t="shared" si="3"/>
        <v>21137</v>
      </c>
      <c r="O8" s="31">
        <f t="shared" si="5"/>
        <v>21137</v>
      </c>
      <c r="R8" s="31">
        <f>SUM(D10:D11)</f>
        <v>115291</v>
      </c>
    </row>
    <row r="9" ht="17.25" customHeight="1" spans="1:18">
      <c r="A9" s="18" t="s">
        <v>273</v>
      </c>
      <c r="B9" s="19">
        <f t="shared" ref="B9:F9" si="8">SUM(B13,B14,B15,B16,B17,B18,B19,B24)</f>
        <v>97900</v>
      </c>
      <c r="C9" s="19">
        <f t="shared" si="8"/>
        <v>65873</v>
      </c>
      <c r="D9" s="19">
        <f t="shared" si="8"/>
        <v>65873</v>
      </c>
      <c r="E9" s="19">
        <f t="shared" si="8"/>
        <v>77600</v>
      </c>
      <c r="F9" s="19">
        <f t="shared" si="8"/>
        <v>77600</v>
      </c>
      <c r="G9" s="20">
        <f t="shared" si="1"/>
        <v>-20300</v>
      </c>
      <c r="H9" s="21">
        <f t="shared" si="2"/>
        <v>-0.174186957262047</v>
      </c>
      <c r="I9" s="17"/>
      <c r="J9" s="19">
        <f>SUM(J13,J14,J15,J16,J17,J18,J19,J24)</f>
        <v>93968</v>
      </c>
      <c r="L9" s="31">
        <f t="shared" si="3"/>
        <v>11727</v>
      </c>
      <c r="O9" s="31">
        <f t="shared" si="5"/>
        <v>11727</v>
      </c>
      <c r="R9" s="31">
        <f>SUM(D6:D7)</f>
        <v>173227.5</v>
      </c>
    </row>
    <row r="10" ht="17.25" customHeight="1" spans="1:15">
      <c r="A10" s="18" t="s">
        <v>274</v>
      </c>
      <c r="B10" s="19">
        <f t="shared" ref="B10:F10" si="9">B7</f>
        <v>40000</v>
      </c>
      <c r="C10" s="19">
        <f t="shared" si="9"/>
        <v>50890</v>
      </c>
      <c r="D10" s="19">
        <f t="shared" si="9"/>
        <v>50890</v>
      </c>
      <c r="E10" s="19">
        <f t="shared" si="9"/>
        <v>60300</v>
      </c>
      <c r="F10" s="19">
        <f t="shared" si="9"/>
        <v>60300</v>
      </c>
      <c r="G10" s="20">
        <f t="shared" si="1"/>
        <v>20300</v>
      </c>
      <c r="H10" s="21">
        <f t="shared" si="2"/>
        <v>0.587844954708237</v>
      </c>
      <c r="I10" s="22"/>
      <c r="J10" s="19">
        <f>J7</f>
        <v>37976</v>
      </c>
      <c r="L10" s="31">
        <f t="shared" si="3"/>
        <v>9410</v>
      </c>
      <c r="O10" s="31">
        <f t="shared" si="5"/>
        <v>9410</v>
      </c>
    </row>
    <row r="11" ht="17.25" customHeight="1" spans="1:18">
      <c r="A11" s="13" t="s">
        <v>276</v>
      </c>
      <c r="B11" s="14">
        <f t="shared" ref="B11:F11" si="10">SUM(B12,B15:B16,B17:B19)</f>
        <v>95600</v>
      </c>
      <c r="C11" s="14">
        <f t="shared" si="10"/>
        <v>64401</v>
      </c>
      <c r="D11" s="14">
        <f t="shared" si="10"/>
        <v>64401</v>
      </c>
      <c r="E11" s="14">
        <f t="shared" si="10"/>
        <v>75800</v>
      </c>
      <c r="F11" s="14">
        <f t="shared" si="10"/>
        <v>75800</v>
      </c>
      <c r="G11" s="15">
        <f t="shared" si="1"/>
        <v>-19800</v>
      </c>
      <c r="H11" s="16">
        <f t="shared" si="2"/>
        <v>-0.174022011550616</v>
      </c>
      <c r="I11" s="22"/>
      <c r="J11" s="14">
        <f>SUM(J12,J15:J16,J17:J19)</f>
        <v>91770</v>
      </c>
      <c r="L11" s="31">
        <f t="shared" si="3"/>
        <v>11399</v>
      </c>
      <c r="O11" s="31">
        <f t="shared" si="5"/>
        <v>11399</v>
      </c>
      <c r="R11" s="1">
        <f>R8/R9</f>
        <v>0.665546752103448</v>
      </c>
    </row>
    <row r="12" ht="17.25" customHeight="1" spans="1:18">
      <c r="A12" s="18" t="s">
        <v>277</v>
      </c>
      <c r="B12" s="19">
        <f t="shared" ref="B12:F12" si="11">SUM(B13:B14)</f>
        <v>35250</v>
      </c>
      <c r="C12" s="19">
        <f t="shared" si="11"/>
        <v>21037</v>
      </c>
      <c r="D12" s="19">
        <f t="shared" si="11"/>
        <v>21037</v>
      </c>
      <c r="E12" s="19">
        <f t="shared" si="11"/>
        <v>27700</v>
      </c>
      <c r="F12" s="19">
        <f t="shared" si="11"/>
        <v>27700</v>
      </c>
      <c r="G12" s="20">
        <f t="shared" si="1"/>
        <v>-7550</v>
      </c>
      <c r="H12" s="21">
        <f t="shared" si="2"/>
        <v>-0.134645423305217</v>
      </c>
      <c r="I12" s="22"/>
      <c r="J12" s="19">
        <f>SUM(J13:J14)</f>
        <v>32010</v>
      </c>
      <c r="L12" s="31">
        <f t="shared" si="3"/>
        <v>6663</v>
      </c>
      <c r="O12" s="31">
        <f t="shared" si="5"/>
        <v>6663</v>
      </c>
      <c r="R12" s="1">
        <v>7500</v>
      </c>
    </row>
    <row r="13" ht="17.25" customHeight="1" spans="1:18">
      <c r="A13" s="18" t="s">
        <v>278</v>
      </c>
      <c r="B13" s="43">
        <v>35250</v>
      </c>
      <c r="C13" s="20">
        <v>21037</v>
      </c>
      <c r="D13" s="20">
        <v>21037</v>
      </c>
      <c r="E13" s="20">
        <v>27700</v>
      </c>
      <c r="F13" s="20">
        <v>27700</v>
      </c>
      <c r="G13" s="20">
        <f t="shared" si="1"/>
        <v>-7550</v>
      </c>
      <c r="H13" s="21">
        <f t="shared" si="2"/>
        <v>-0.134645423305217</v>
      </c>
      <c r="I13" s="25"/>
      <c r="J13" s="32">
        <v>32010</v>
      </c>
      <c r="K13" s="33"/>
      <c r="L13" s="31">
        <f t="shared" si="3"/>
        <v>6663</v>
      </c>
      <c r="M13" s="34"/>
      <c r="O13" s="31">
        <f t="shared" si="5"/>
        <v>6663</v>
      </c>
      <c r="R13" s="1">
        <f>R11*R12</f>
        <v>4991.60064077586</v>
      </c>
    </row>
    <row r="14" ht="17.25" customHeight="1" spans="1:13">
      <c r="A14" s="18" t="s">
        <v>279</v>
      </c>
      <c r="B14" s="19"/>
      <c r="C14" s="20"/>
      <c r="D14" s="20"/>
      <c r="E14" s="20"/>
      <c r="F14" s="20"/>
      <c r="G14" s="20">
        <f t="shared" si="1"/>
        <v>0</v>
      </c>
      <c r="H14" s="21" t="e">
        <f t="shared" si="2"/>
        <v>#DIV/0!</v>
      </c>
      <c r="I14" s="25"/>
      <c r="J14" s="32"/>
      <c r="K14" s="34"/>
      <c r="L14" s="31">
        <f t="shared" si="3"/>
        <v>0</v>
      </c>
      <c r="M14" s="35"/>
    </row>
    <row r="15" ht="17.25" customHeight="1" spans="1:15">
      <c r="A15" s="18" t="s">
        <v>280</v>
      </c>
      <c r="B15" s="19">
        <v>0</v>
      </c>
      <c r="C15" s="20"/>
      <c r="D15" s="20"/>
      <c r="E15" s="20"/>
      <c r="F15" s="20"/>
      <c r="G15" s="20">
        <f t="shared" si="1"/>
        <v>0</v>
      </c>
      <c r="H15" s="21" t="e">
        <f t="shared" si="2"/>
        <v>#DIV/0!</v>
      </c>
      <c r="I15" s="25"/>
      <c r="J15" s="36"/>
      <c r="K15" s="34"/>
      <c r="L15" s="31">
        <f t="shared" si="3"/>
        <v>0</v>
      </c>
      <c r="M15" s="34"/>
      <c r="O15" s="31">
        <f t="shared" ref="O15:O27" si="12">E15-D15</f>
        <v>0</v>
      </c>
    </row>
    <row r="16" ht="17.25" customHeight="1" spans="1:13">
      <c r="A16" s="18" t="s">
        <v>281</v>
      </c>
      <c r="B16" s="44">
        <v>14600</v>
      </c>
      <c r="C16" s="20">
        <v>15843</v>
      </c>
      <c r="D16" s="20">
        <v>15843</v>
      </c>
      <c r="E16" s="20">
        <v>15900</v>
      </c>
      <c r="F16" s="20">
        <v>15900</v>
      </c>
      <c r="G16" s="20">
        <f t="shared" si="1"/>
        <v>1300</v>
      </c>
      <c r="H16" s="21">
        <f t="shared" si="2"/>
        <v>0.141831238779174</v>
      </c>
      <c r="I16" s="25"/>
      <c r="J16" s="36">
        <v>13925</v>
      </c>
      <c r="K16" s="34"/>
      <c r="L16" s="31">
        <f t="shared" si="3"/>
        <v>57</v>
      </c>
      <c r="M16" s="34"/>
    </row>
    <row r="17" ht="17.25" customHeight="1" spans="1:15">
      <c r="A17" s="18" t="s">
        <v>282</v>
      </c>
      <c r="B17" s="44">
        <v>7880</v>
      </c>
      <c r="C17" s="20">
        <v>6342</v>
      </c>
      <c r="D17" s="20">
        <v>6342</v>
      </c>
      <c r="E17" s="20">
        <v>6700</v>
      </c>
      <c r="F17" s="20">
        <v>6700</v>
      </c>
      <c r="G17" s="20">
        <f t="shared" si="1"/>
        <v>-1180</v>
      </c>
      <c r="H17" s="21">
        <f t="shared" si="2"/>
        <v>-0.198180947821924</v>
      </c>
      <c r="I17" s="25"/>
      <c r="J17" s="37">
        <v>8356</v>
      </c>
      <c r="K17" s="34"/>
      <c r="L17" s="31">
        <f t="shared" si="3"/>
        <v>358</v>
      </c>
      <c r="M17" s="34"/>
      <c r="O17" s="31">
        <f t="shared" si="12"/>
        <v>358</v>
      </c>
    </row>
    <row r="18" ht="17.25" customHeight="1" spans="1:15">
      <c r="A18" s="18" t="s">
        <v>283</v>
      </c>
      <c r="B18" s="19">
        <v>30100</v>
      </c>
      <c r="C18" s="20">
        <v>15787</v>
      </c>
      <c r="D18" s="20">
        <v>15787</v>
      </c>
      <c r="E18" s="20">
        <v>18700</v>
      </c>
      <c r="F18" s="20">
        <v>18700</v>
      </c>
      <c r="G18" s="20">
        <f t="shared" si="1"/>
        <v>-11400</v>
      </c>
      <c r="H18" s="21">
        <f t="shared" si="2"/>
        <v>-0.337677976907275</v>
      </c>
      <c r="I18" s="25"/>
      <c r="J18" s="37">
        <v>28234</v>
      </c>
      <c r="K18" s="34"/>
      <c r="L18" s="31">
        <f t="shared" si="3"/>
        <v>2913</v>
      </c>
      <c r="M18" s="34"/>
      <c r="O18" s="31">
        <f t="shared" si="12"/>
        <v>2913</v>
      </c>
    </row>
    <row r="19" ht="17.25" customHeight="1" spans="1:15">
      <c r="A19" s="18" t="s">
        <v>284</v>
      </c>
      <c r="B19" s="44">
        <v>7770</v>
      </c>
      <c r="C19" s="20">
        <v>5392</v>
      </c>
      <c r="D19" s="20">
        <v>5392</v>
      </c>
      <c r="E19" s="20">
        <v>6800</v>
      </c>
      <c r="F19" s="20">
        <v>6800</v>
      </c>
      <c r="G19" s="20">
        <f t="shared" si="1"/>
        <v>-970</v>
      </c>
      <c r="H19" s="21">
        <f t="shared" si="2"/>
        <v>-0.2644672796106</v>
      </c>
      <c r="I19" s="25"/>
      <c r="J19" s="37">
        <v>9245</v>
      </c>
      <c r="K19" s="38"/>
      <c r="L19" s="31">
        <f t="shared" si="3"/>
        <v>1408</v>
      </c>
      <c r="M19" s="38"/>
      <c r="O19" s="31">
        <f t="shared" si="12"/>
        <v>1408</v>
      </c>
    </row>
    <row r="20" ht="17.25" customHeight="1" spans="1:15">
      <c r="A20" s="13" t="s">
        <v>285</v>
      </c>
      <c r="B20" s="14">
        <f t="shared" ref="B20:F20" si="13">SUM(B21:B23,B25:B26,B27:B29)</f>
        <v>42300</v>
      </c>
      <c r="C20" s="14">
        <f t="shared" si="13"/>
        <v>52362</v>
      </c>
      <c r="D20" s="14">
        <f t="shared" si="13"/>
        <v>52362</v>
      </c>
      <c r="E20" s="14">
        <f t="shared" si="13"/>
        <v>62100</v>
      </c>
      <c r="F20" s="14">
        <f t="shared" si="13"/>
        <v>62100</v>
      </c>
      <c r="G20" s="15">
        <f t="shared" si="1"/>
        <v>19800</v>
      </c>
      <c r="H20" s="16">
        <f t="shared" si="2"/>
        <v>0.545775874943994</v>
      </c>
      <c r="I20" s="25"/>
      <c r="J20" s="14">
        <f>SUM(J21:J23,J25:J26,J27:J29)</f>
        <v>40174</v>
      </c>
      <c r="L20" s="31">
        <f t="shared" si="3"/>
        <v>9738</v>
      </c>
      <c r="O20" s="31">
        <f t="shared" si="12"/>
        <v>9738</v>
      </c>
    </row>
    <row r="21" ht="17.25" customHeight="1" spans="1:15">
      <c r="A21" s="18" t="s">
        <v>286</v>
      </c>
      <c r="B21" s="19">
        <v>4300</v>
      </c>
      <c r="C21" s="20">
        <v>3658</v>
      </c>
      <c r="D21" s="20">
        <v>3658</v>
      </c>
      <c r="E21" s="20">
        <v>3950</v>
      </c>
      <c r="F21" s="20">
        <v>3950</v>
      </c>
      <c r="G21" s="20">
        <f t="shared" si="1"/>
        <v>-350</v>
      </c>
      <c r="H21" s="21">
        <f t="shared" si="2"/>
        <v>-0.0438150568869523</v>
      </c>
      <c r="I21" s="25"/>
      <c r="J21" s="37">
        <v>4131</v>
      </c>
      <c r="L21" s="31">
        <f t="shared" si="3"/>
        <v>292</v>
      </c>
      <c r="O21" s="31">
        <f t="shared" si="12"/>
        <v>292</v>
      </c>
    </row>
    <row r="22" ht="17.25" customHeight="1" spans="1:15">
      <c r="A22" s="18" t="s">
        <v>287</v>
      </c>
      <c r="B22" s="19">
        <v>2700</v>
      </c>
      <c r="C22" s="20">
        <v>1925</v>
      </c>
      <c r="D22" s="20">
        <v>1925</v>
      </c>
      <c r="E22" s="20">
        <v>2200</v>
      </c>
      <c r="F22" s="20">
        <v>2200</v>
      </c>
      <c r="G22" s="20">
        <f t="shared" si="1"/>
        <v>-500</v>
      </c>
      <c r="H22" s="21">
        <f t="shared" si="2"/>
        <v>-0.156765044078191</v>
      </c>
      <c r="I22" s="25"/>
      <c r="J22" s="39">
        <v>2609</v>
      </c>
      <c r="L22" s="31">
        <f t="shared" si="3"/>
        <v>275</v>
      </c>
      <c r="O22" s="31">
        <f t="shared" si="12"/>
        <v>275</v>
      </c>
    </row>
    <row r="23" ht="17.25" customHeight="1" spans="1:15">
      <c r="A23" s="26" t="s">
        <v>288</v>
      </c>
      <c r="B23" s="19">
        <v>12100</v>
      </c>
      <c r="C23" s="20">
        <v>3251</v>
      </c>
      <c r="D23" s="20">
        <v>3251</v>
      </c>
      <c r="E23" s="20">
        <v>4800</v>
      </c>
      <c r="F23" s="20">
        <v>4800</v>
      </c>
      <c r="G23" s="20">
        <f t="shared" si="1"/>
        <v>-7300</v>
      </c>
      <c r="H23" s="21">
        <f t="shared" si="2"/>
        <v>-0.507540781779009</v>
      </c>
      <c r="I23" s="25"/>
      <c r="J23" s="36">
        <v>9747</v>
      </c>
      <c r="L23" s="31">
        <f t="shared" si="3"/>
        <v>1549</v>
      </c>
      <c r="O23" s="31">
        <f t="shared" si="12"/>
        <v>1549</v>
      </c>
    </row>
    <row r="24" ht="17.25" customHeight="1" spans="1:15">
      <c r="A24" s="26" t="s">
        <v>289</v>
      </c>
      <c r="B24" s="19">
        <v>2300</v>
      </c>
      <c r="C24" s="20">
        <v>1472</v>
      </c>
      <c r="D24" s="20">
        <v>1472</v>
      </c>
      <c r="E24" s="20">
        <v>1800</v>
      </c>
      <c r="F24" s="20">
        <v>1800</v>
      </c>
      <c r="G24" s="20">
        <f t="shared" si="1"/>
        <v>-500</v>
      </c>
      <c r="H24" s="21">
        <f t="shared" si="2"/>
        <v>-0.181073703366697</v>
      </c>
      <c r="I24" s="25"/>
      <c r="J24" s="36">
        <v>2198</v>
      </c>
      <c r="L24" s="31">
        <f t="shared" si="3"/>
        <v>328</v>
      </c>
      <c r="O24" s="31">
        <f t="shared" si="12"/>
        <v>328</v>
      </c>
    </row>
    <row r="25" ht="17.25" customHeight="1" spans="1:15">
      <c r="A25" s="26" t="s">
        <v>290</v>
      </c>
      <c r="B25" s="19">
        <v>2000</v>
      </c>
      <c r="C25" s="20">
        <v>6614</v>
      </c>
      <c r="D25" s="20">
        <v>6614</v>
      </c>
      <c r="E25" s="20">
        <v>8700</v>
      </c>
      <c r="F25" s="20">
        <v>8700</v>
      </c>
      <c r="G25" s="20">
        <f t="shared" si="1"/>
        <v>6700</v>
      </c>
      <c r="H25" s="21">
        <f t="shared" si="2"/>
        <v>2.78260869565217</v>
      </c>
      <c r="I25" s="25"/>
      <c r="J25" s="36">
        <v>2300</v>
      </c>
      <c r="L25" s="31">
        <f t="shared" si="3"/>
        <v>2086</v>
      </c>
      <c r="O25" s="31">
        <f t="shared" si="12"/>
        <v>2086</v>
      </c>
    </row>
    <row r="26" ht="17.25" customHeight="1" spans="1:15">
      <c r="A26" s="26" t="s">
        <v>291</v>
      </c>
      <c r="B26" s="19">
        <v>2600</v>
      </c>
      <c r="C26" s="20">
        <v>19738</v>
      </c>
      <c r="D26" s="20">
        <v>19738</v>
      </c>
      <c r="E26" s="20">
        <v>25000</v>
      </c>
      <c r="F26" s="20">
        <v>25000</v>
      </c>
      <c r="G26" s="20">
        <f t="shared" si="1"/>
        <v>22400</v>
      </c>
      <c r="H26" s="21">
        <f t="shared" si="2"/>
        <v>8.02853015529072</v>
      </c>
      <c r="I26" s="25"/>
      <c r="J26" s="36">
        <v>2769</v>
      </c>
      <c r="L26" s="31">
        <f t="shared" si="3"/>
        <v>5262</v>
      </c>
      <c r="O26" s="31">
        <f t="shared" si="12"/>
        <v>5262</v>
      </c>
    </row>
    <row r="27" ht="17.25" customHeight="1" spans="1:15">
      <c r="A27" s="26" t="s">
        <v>292</v>
      </c>
      <c r="B27" s="19">
        <v>60</v>
      </c>
      <c r="C27" s="20">
        <v>0</v>
      </c>
      <c r="D27" s="20">
        <v>0</v>
      </c>
      <c r="E27" s="20">
        <v>65</v>
      </c>
      <c r="F27" s="20">
        <v>65</v>
      </c>
      <c r="G27" s="20">
        <f t="shared" si="1"/>
        <v>5</v>
      </c>
      <c r="H27" s="21">
        <f t="shared" si="2"/>
        <v>0.015625</v>
      </c>
      <c r="I27" s="25"/>
      <c r="J27" s="36">
        <v>64</v>
      </c>
      <c r="L27" s="31">
        <f t="shared" si="3"/>
        <v>65</v>
      </c>
      <c r="O27" s="31">
        <f t="shared" si="12"/>
        <v>65</v>
      </c>
    </row>
    <row r="28" ht="17.25" customHeight="1" spans="1:15">
      <c r="A28" s="26" t="s">
        <v>293</v>
      </c>
      <c r="B28" s="19">
        <v>1100</v>
      </c>
      <c r="C28" s="20">
        <v>1162</v>
      </c>
      <c r="D28" s="20">
        <v>1162</v>
      </c>
      <c r="E28" s="20">
        <v>1200</v>
      </c>
      <c r="F28" s="20">
        <v>1200</v>
      </c>
      <c r="G28" s="20">
        <f t="shared" si="1"/>
        <v>100</v>
      </c>
      <c r="H28" s="21"/>
      <c r="I28" s="25"/>
      <c r="J28" s="36">
        <v>2805</v>
      </c>
      <c r="L28" s="31"/>
      <c r="O28" s="31"/>
    </row>
    <row r="29" ht="17.25" customHeight="1" spans="1:15">
      <c r="A29" s="26" t="s">
        <v>294</v>
      </c>
      <c r="B29" s="19">
        <v>17440</v>
      </c>
      <c r="C29" s="20">
        <v>16014</v>
      </c>
      <c r="D29" s="20">
        <v>16014</v>
      </c>
      <c r="E29" s="20">
        <v>16185</v>
      </c>
      <c r="F29" s="20">
        <v>16185</v>
      </c>
      <c r="G29" s="20">
        <f t="shared" si="1"/>
        <v>-1255</v>
      </c>
      <c r="H29" s="21">
        <f t="shared" ref="H29:H43" si="14">E29/J29-1</f>
        <v>0.027684297415709</v>
      </c>
      <c r="I29" s="25"/>
      <c r="J29" s="36">
        <v>15749</v>
      </c>
      <c r="L29" s="31">
        <f t="shared" ref="L29:L34" si="15">E29-D29</f>
        <v>171</v>
      </c>
      <c r="O29" s="31">
        <f t="shared" ref="O29:O33" si="16">E29-D29</f>
        <v>171</v>
      </c>
    </row>
    <row r="30" ht="17.25" customHeight="1" spans="1:15">
      <c r="A30" s="13" t="s">
        <v>295</v>
      </c>
      <c r="B30" s="14">
        <f t="shared" ref="B30:F30" si="17">SUM(B31,B32,B33:B35,B36)</f>
        <v>74400</v>
      </c>
      <c r="C30" s="14">
        <f t="shared" si="17"/>
        <v>56464.5</v>
      </c>
      <c r="D30" s="14">
        <f t="shared" si="17"/>
        <v>56464.5</v>
      </c>
      <c r="E30" s="14">
        <f t="shared" si="17"/>
        <v>64100</v>
      </c>
      <c r="F30" s="14">
        <f t="shared" si="17"/>
        <v>64100</v>
      </c>
      <c r="G30" s="15">
        <f t="shared" si="1"/>
        <v>-10300</v>
      </c>
      <c r="H30" s="16">
        <f t="shared" si="14"/>
        <v>-0.0930122323077249</v>
      </c>
      <c r="I30" s="25"/>
      <c r="J30" s="14">
        <f>SUM(J31,J32,J33:J35,J36)</f>
        <v>70673.5</v>
      </c>
      <c r="O30" s="31">
        <f t="shared" si="16"/>
        <v>7635.5</v>
      </c>
    </row>
    <row r="31" ht="17.25" customHeight="1" spans="1:15">
      <c r="A31" s="18" t="s">
        <v>296</v>
      </c>
      <c r="B31" s="19">
        <f t="shared" ref="B31:F31" si="18">B13</f>
        <v>35250</v>
      </c>
      <c r="C31" s="19">
        <f t="shared" si="18"/>
        <v>21037</v>
      </c>
      <c r="D31" s="19">
        <f t="shared" si="18"/>
        <v>21037</v>
      </c>
      <c r="E31" s="19">
        <f t="shared" si="18"/>
        <v>27700</v>
      </c>
      <c r="F31" s="19">
        <f t="shared" si="18"/>
        <v>27700</v>
      </c>
      <c r="G31" s="20">
        <f t="shared" si="1"/>
        <v>-7550</v>
      </c>
      <c r="H31" s="21">
        <f t="shared" si="14"/>
        <v>-0.134645423305217</v>
      </c>
      <c r="I31" s="25"/>
      <c r="J31" s="19">
        <f>J13</f>
        <v>32010</v>
      </c>
      <c r="O31" s="31">
        <f t="shared" si="16"/>
        <v>6663</v>
      </c>
    </row>
    <row r="32" ht="17.25" customHeight="1" spans="1:15">
      <c r="A32" s="18" t="s">
        <v>297</v>
      </c>
      <c r="B32" s="19">
        <f t="shared" ref="B32:F32" si="19">B14</f>
        <v>0</v>
      </c>
      <c r="C32" s="19">
        <f t="shared" si="19"/>
        <v>0</v>
      </c>
      <c r="D32" s="19">
        <f t="shared" si="19"/>
        <v>0</v>
      </c>
      <c r="E32" s="19">
        <f t="shared" si="19"/>
        <v>0</v>
      </c>
      <c r="F32" s="19">
        <f t="shared" si="19"/>
        <v>0</v>
      </c>
      <c r="G32" s="20">
        <f t="shared" si="1"/>
        <v>0</v>
      </c>
      <c r="H32" s="21" t="e">
        <f t="shared" si="14"/>
        <v>#DIV/0!</v>
      </c>
      <c r="I32" s="25"/>
      <c r="J32" s="19">
        <f>J14+J15</f>
        <v>0</v>
      </c>
      <c r="O32" s="31">
        <f t="shared" si="16"/>
        <v>0</v>
      </c>
    </row>
    <row r="33" ht="17.25" customHeight="1" spans="1:15">
      <c r="A33" s="18" t="s">
        <v>298</v>
      </c>
      <c r="B33" s="19">
        <v>75</v>
      </c>
      <c r="C33" s="19">
        <v>48</v>
      </c>
      <c r="D33" s="19">
        <v>48</v>
      </c>
      <c r="E33" s="19">
        <v>60</v>
      </c>
      <c r="F33" s="19">
        <v>60</v>
      </c>
      <c r="G33" s="20">
        <f t="shared" si="1"/>
        <v>-15</v>
      </c>
      <c r="H33" s="21">
        <f t="shared" si="14"/>
        <v>-0.117647058823529</v>
      </c>
      <c r="I33" s="25"/>
      <c r="J33" s="19">
        <v>68</v>
      </c>
      <c r="L33" s="31">
        <f t="shared" si="15"/>
        <v>12</v>
      </c>
      <c r="O33" s="31">
        <f t="shared" si="16"/>
        <v>12</v>
      </c>
    </row>
    <row r="34" ht="17.25" customHeight="1" spans="1:12">
      <c r="A34" s="18" t="s">
        <v>299</v>
      </c>
      <c r="B34" s="19">
        <v>5355</v>
      </c>
      <c r="C34" s="19">
        <v>2103</v>
      </c>
      <c r="D34" s="19">
        <v>2103</v>
      </c>
      <c r="E34" s="19">
        <v>2440</v>
      </c>
      <c r="F34" s="19">
        <v>2440</v>
      </c>
      <c r="G34" s="20">
        <f t="shared" si="1"/>
        <v>-2915</v>
      </c>
      <c r="H34" s="21">
        <f t="shared" si="14"/>
        <v>-0.528502415458937</v>
      </c>
      <c r="I34" s="25"/>
      <c r="J34" s="19">
        <v>5175</v>
      </c>
      <c r="L34" s="31">
        <f t="shared" si="15"/>
        <v>337</v>
      </c>
    </row>
    <row r="35" ht="17.25" customHeight="1" spans="1:10">
      <c r="A35" s="18" t="s">
        <v>300</v>
      </c>
      <c r="B35" s="19">
        <f t="shared" ref="B35:F35" si="20">B16*1.5</f>
        <v>21900</v>
      </c>
      <c r="C35" s="19">
        <f>C16*1.5-1</f>
        <v>23763.5</v>
      </c>
      <c r="D35" s="19">
        <f>D16*1.5-1</f>
        <v>23763.5</v>
      </c>
      <c r="E35" s="19">
        <f t="shared" si="20"/>
        <v>23850</v>
      </c>
      <c r="F35" s="19">
        <f t="shared" si="20"/>
        <v>23850</v>
      </c>
      <c r="G35" s="20">
        <f t="shared" si="1"/>
        <v>1950</v>
      </c>
      <c r="H35" s="21">
        <f t="shared" si="14"/>
        <v>0.141831238779174</v>
      </c>
      <c r="I35" s="27"/>
      <c r="J35" s="19">
        <f>J16*1.5</f>
        <v>20887.5</v>
      </c>
    </row>
    <row r="36" ht="17.25" customHeight="1" spans="1:10">
      <c r="A36" s="18" t="s">
        <v>301</v>
      </c>
      <c r="B36" s="19">
        <f t="shared" ref="B36:F36" si="21">B17*1.5</f>
        <v>11820</v>
      </c>
      <c r="C36" s="19">
        <f t="shared" si="21"/>
        <v>9513</v>
      </c>
      <c r="D36" s="19">
        <f t="shared" si="21"/>
        <v>9513</v>
      </c>
      <c r="E36" s="19">
        <f t="shared" si="21"/>
        <v>10050</v>
      </c>
      <c r="F36" s="19">
        <f t="shared" si="21"/>
        <v>10050</v>
      </c>
      <c r="G36" s="20">
        <f>SUM(G37:G38)</f>
        <v>-180824</v>
      </c>
      <c r="H36" s="21">
        <f t="shared" si="14"/>
        <v>-0.198116971196042</v>
      </c>
      <c r="I36" s="27"/>
      <c r="J36" s="19">
        <f>J17*1.5-1</f>
        <v>12533</v>
      </c>
    </row>
    <row r="37" ht="17.25" customHeight="1" spans="1:12">
      <c r="A37" s="13" t="s">
        <v>302</v>
      </c>
      <c r="B37" s="14">
        <f t="shared" ref="B37:G37" si="22">SUM(B38:B43)</f>
        <v>248400</v>
      </c>
      <c r="C37" s="14">
        <f t="shared" si="22"/>
        <v>52358</v>
      </c>
      <c r="D37" s="14">
        <f t="shared" si="22"/>
        <v>52358</v>
      </c>
      <c r="E37" s="14">
        <f t="shared" si="22"/>
        <v>67183</v>
      </c>
      <c r="F37" s="14">
        <f t="shared" si="22"/>
        <v>67183</v>
      </c>
      <c r="G37" s="15">
        <f t="shared" si="22"/>
        <v>-181217</v>
      </c>
      <c r="H37" s="16">
        <f t="shared" si="14"/>
        <v>-0.675006409605217</v>
      </c>
      <c r="I37" s="27"/>
      <c r="J37" s="14">
        <f>SUM(J38:J43)</f>
        <v>206721</v>
      </c>
      <c r="L37" s="31">
        <f>E37-J37</f>
        <v>-139538</v>
      </c>
    </row>
    <row r="38" ht="17.25" customHeight="1" spans="1:12">
      <c r="A38" s="28" t="s">
        <v>303</v>
      </c>
      <c r="B38" s="29">
        <v>0</v>
      </c>
      <c r="C38" s="20">
        <v>393</v>
      </c>
      <c r="D38" s="20">
        <v>393</v>
      </c>
      <c r="E38" s="20">
        <v>393</v>
      </c>
      <c r="F38" s="20">
        <v>393</v>
      </c>
      <c r="G38" s="20">
        <f t="shared" ref="G38:G43" si="23">E38-B38</f>
        <v>393</v>
      </c>
      <c r="H38" s="21">
        <f t="shared" si="14"/>
        <v>-0.832765957446808</v>
      </c>
      <c r="I38" s="27"/>
      <c r="J38" s="20">
        <v>2350</v>
      </c>
      <c r="L38" s="31">
        <f t="shared" ref="L38:L43" si="24">E38-D38</f>
        <v>0</v>
      </c>
    </row>
    <row r="39" ht="17.25" customHeight="1" spans="1:12">
      <c r="A39" s="28" t="s">
        <v>304</v>
      </c>
      <c r="B39" s="29">
        <v>244650</v>
      </c>
      <c r="C39" s="20">
        <v>50002</v>
      </c>
      <c r="D39" s="20">
        <v>50002</v>
      </c>
      <c r="E39" s="20">
        <v>64336</v>
      </c>
      <c r="F39" s="20">
        <v>64336</v>
      </c>
      <c r="G39" s="20">
        <f t="shared" si="23"/>
        <v>-180314</v>
      </c>
      <c r="H39" s="21">
        <f t="shared" si="14"/>
        <v>-0.678614068127663</v>
      </c>
      <c r="I39" s="27"/>
      <c r="J39" s="36">
        <v>200183</v>
      </c>
      <c r="L39" s="31">
        <f t="shared" si="24"/>
        <v>14334</v>
      </c>
    </row>
    <row r="40" ht="17.25" customHeight="1" spans="1:12">
      <c r="A40" s="28" t="s">
        <v>305</v>
      </c>
      <c r="B40" s="29">
        <v>2400</v>
      </c>
      <c r="C40" s="20">
        <v>587</v>
      </c>
      <c r="D40" s="20">
        <v>587</v>
      </c>
      <c r="E40" s="20">
        <v>1000</v>
      </c>
      <c r="F40" s="20">
        <v>1000</v>
      </c>
      <c r="G40" s="20">
        <f t="shared" si="23"/>
        <v>-1400</v>
      </c>
      <c r="H40" s="21">
        <f t="shared" si="14"/>
        <v>-0.642474079370754</v>
      </c>
      <c r="I40" s="27"/>
      <c r="J40" s="36">
        <v>2797</v>
      </c>
      <c r="L40" s="31">
        <f t="shared" si="24"/>
        <v>413</v>
      </c>
    </row>
    <row r="41" ht="17.25" customHeight="1" spans="1:12">
      <c r="A41" s="28" t="s">
        <v>306</v>
      </c>
      <c r="B41" s="29">
        <v>900</v>
      </c>
      <c r="C41" s="20">
        <v>974</v>
      </c>
      <c r="D41" s="20">
        <v>974</v>
      </c>
      <c r="E41" s="20">
        <v>974</v>
      </c>
      <c r="F41" s="20">
        <v>974</v>
      </c>
      <c r="G41" s="20">
        <f t="shared" si="23"/>
        <v>74</v>
      </c>
      <c r="H41" s="21">
        <f t="shared" si="14"/>
        <v>0.0882681564245811</v>
      </c>
      <c r="I41" s="27"/>
      <c r="J41" s="40">
        <v>895</v>
      </c>
      <c r="L41" s="31">
        <f t="shared" si="24"/>
        <v>0</v>
      </c>
    </row>
    <row r="42" ht="17.25" customHeight="1" spans="1:12">
      <c r="A42" s="28" t="s">
        <v>307</v>
      </c>
      <c r="B42" s="29">
        <v>120</v>
      </c>
      <c r="C42" s="20">
        <v>130</v>
      </c>
      <c r="D42" s="20">
        <v>130</v>
      </c>
      <c r="E42" s="20">
        <v>150</v>
      </c>
      <c r="F42" s="20">
        <v>150</v>
      </c>
      <c r="G42" s="20">
        <f t="shared" si="23"/>
        <v>30</v>
      </c>
      <c r="H42" s="21">
        <f t="shared" si="14"/>
        <v>0.111111111111111</v>
      </c>
      <c r="I42" s="27"/>
      <c r="J42" s="20">
        <v>135</v>
      </c>
      <c r="L42" s="31">
        <f t="shared" si="24"/>
        <v>20</v>
      </c>
    </row>
    <row r="43" ht="17.25" customHeight="1" spans="1:12">
      <c r="A43" s="28" t="s">
        <v>308</v>
      </c>
      <c r="B43" s="29">
        <v>330</v>
      </c>
      <c r="C43" s="20">
        <v>272</v>
      </c>
      <c r="D43" s="20">
        <v>272</v>
      </c>
      <c r="E43" s="20">
        <v>330</v>
      </c>
      <c r="F43" s="20">
        <v>330</v>
      </c>
      <c r="G43" s="20">
        <f t="shared" si="23"/>
        <v>0</v>
      </c>
      <c r="H43" s="21">
        <f t="shared" si="14"/>
        <v>-0.0858725761772853</v>
      </c>
      <c r="I43" s="27"/>
      <c r="J43" s="20">
        <v>361</v>
      </c>
      <c r="L43" s="31">
        <f t="shared" si="24"/>
        <v>58</v>
      </c>
    </row>
    <row r="44" spans="5:10">
      <c r="E44" s="30"/>
      <c r="F44" s="30"/>
      <c r="G44" s="30"/>
      <c r="J44" s="30"/>
    </row>
    <row r="45" spans="5:10">
      <c r="E45" s="3">
        <f>(E22+1500)/E9</f>
        <v>0.047680412371134</v>
      </c>
      <c r="F45" s="3">
        <f>(F22+1500)/F9</f>
        <v>0.047680412371134</v>
      </c>
      <c r="J45" s="3">
        <f>J22/J9</f>
        <v>0.0277647709858675</v>
      </c>
    </row>
  </sheetData>
  <mergeCells count="6">
    <mergeCell ref="A1:H1"/>
    <mergeCell ref="E3:H3"/>
    <mergeCell ref="A3:A4"/>
    <mergeCell ref="B3:B4"/>
    <mergeCell ref="C3:C4"/>
    <mergeCell ref="D3:D4"/>
  </mergeCells>
  <pageMargins left="0.747916666666667" right="0" top="0.590277777777778" bottom="0.393055555555556" header="0.511805555555556" footer="0.511805555555556"/>
  <pageSetup paperSize="9" scale="9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Q45"/>
  <sheetViews>
    <sheetView workbookViewId="0">
      <selection activeCell="L26" sqref="L26"/>
    </sheetView>
  </sheetViews>
  <sheetFormatPr defaultColWidth="9" defaultRowHeight="12.75"/>
  <cols>
    <col min="1" max="1" width="27.875" style="1" customWidth="1"/>
    <col min="2" max="2" width="8.875" style="2" customWidth="1"/>
    <col min="3" max="3" width="9.25" style="1" customWidth="1"/>
    <col min="4" max="4" width="9.25" style="3" customWidth="1"/>
    <col min="5" max="5" width="10.375" style="3" customWidth="1"/>
    <col min="6" max="6" width="10.5" style="3" customWidth="1"/>
    <col min="7" max="7" width="8.875" style="1" customWidth="1"/>
    <col min="8" max="8" width="2.375" style="1" customWidth="1"/>
    <col min="9" max="9" width="9.5" style="3" customWidth="1"/>
    <col min="10" max="16384" width="9" style="1"/>
  </cols>
  <sheetData>
    <row r="1" ht="21.75" customHeight="1" spans="1:8">
      <c r="A1" s="4" t="s">
        <v>262</v>
      </c>
      <c r="B1" s="4"/>
      <c r="C1" s="4"/>
      <c r="D1" s="4"/>
      <c r="E1" s="4"/>
      <c r="F1" s="4"/>
      <c r="G1" s="4"/>
      <c r="H1" s="4"/>
    </row>
    <row r="2" ht="15.75" customHeight="1" spans="1:7">
      <c r="A2" s="2" t="s">
        <v>1</v>
      </c>
      <c r="G2" s="2" t="s">
        <v>119</v>
      </c>
    </row>
    <row r="3" ht="14.25" customHeight="1" spans="1:8">
      <c r="A3" s="5" t="s">
        <v>263</v>
      </c>
      <c r="B3" s="6" t="s">
        <v>264</v>
      </c>
      <c r="C3" s="6" t="s">
        <v>309</v>
      </c>
      <c r="D3" s="7" t="s">
        <v>267</v>
      </c>
      <c r="E3" s="7"/>
      <c r="F3" s="7"/>
      <c r="G3" s="7"/>
      <c r="H3" s="8"/>
    </row>
    <row r="4" ht="14.25" customHeight="1" spans="1:13">
      <c r="A4" s="9"/>
      <c r="B4" s="10"/>
      <c r="C4" s="10"/>
      <c r="D4" s="11" t="s">
        <v>17</v>
      </c>
      <c r="E4" s="11" t="s">
        <v>270</v>
      </c>
      <c r="F4" s="11" t="s">
        <v>310</v>
      </c>
      <c r="G4" s="11" t="s">
        <v>271</v>
      </c>
      <c r="H4" s="12"/>
      <c r="M4" s="1">
        <f>K9/K6</f>
        <v>0.585398727068514</v>
      </c>
    </row>
    <row r="5" ht="17.25" customHeight="1" spans="1:11">
      <c r="A5" s="13" t="s">
        <v>272</v>
      </c>
      <c r="B5" s="14">
        <f>SUM(B6:B7)</f>
        <v>212300</v>
      </c>
      <c r="C5" s="14">
        <f>SUM(C6:C7)</f>
        <v>173227.5</v>
      </c>
      <c r="D5" s="14">
        <f>SUM(D6:D7)</f>
        <v>202670</v>
      </c>
      <c r="E5" s="15">
        <f t="shared" ref="E5:E43" si="0">D5-B5</f>
        <v>-9630</v>
      </c>
      <c r="F5" s="14">
        <f>SUM(F6:F7)</f>
        <v>51.5</v>
      </c>
      <c r="G5" s="41">
        <f t="shared" ref="G5:G43" si="1">D5/I5-1</f>
        <v>0.000259108912112671</v>
      </c>
      <c r="H5" s="17"/>
      <c r="I5" s="14">
        <f>SUM(I6:I7)</f>
        <v>202617.5</v>
      </c>
      <c r="K5" s="31">
        <f>D5-C5</f>
        <v>29442.5</v>
      </c>
    </row>
    <row r="6" ht="17.25" customHeight="1" spans="1:14">
      <c r="A6" s="18" t="s">
        <v>273</v>
      </c>
      <c r="B6" s="19">
        <f>SUM(B9,B30)</f>
        <v>172300</v>
      </c>
      <c r="C6" s="19">
        <f>SUM(C9,C30)</f>
        <v>122337.5</v>
      </c>
      <c r="D6" s="19">
        <f>SUM(D9,D30)</f>
        <v>142370</v>
      </c>
      <c r="E6" s="20">
        <f t="shared" si="0"/>
        <v>-29930</v>
      </c>
      <c r="F6" s="19">
        <f>SUM(F9,F30)</f>
        <v>-22272.5</v>
      </c>
      <c r="G6" s="42">
        <f t="shared" si="1"/>
        <v>-0.135272698560205</v>
      </c>
      <c r="H6" s="22"/>
      <c r="I6" s="19">
        <f>SUM(I9,I30)</f>
        <v>164641.5</v>
      </c>
      <c r="K6" s="31">
        <f>D6-C6</f>
        <v>20032.5</v>
      </c>
      <c r="N6" s="31">
        <f t="shared" ref="N6:N13" si="2">D6-C6</f>
        <v>20032.5</v>
      </c>
    </row>
    <row r="7" ht="17.25" customHeight="1" spans="1:14">
      <c r="A7" s="18" t="s">
        <v>274</v>
      </c>
      <c r="B7" s="19">
        <f>SUM(B21:B23,B25:B29)-B24</f>
        <v>40000</v>
      </c>
      <c r="C7" s="19">
        <f>SUM(C21:C23,C25:C29)-C24</f>
        <v>50890</v>
      </c>
      <c r="D7" s="19">
        <f>SUM(D21:D23,D25:D29)-D24</f>
        <v>60300</v>
      </c>
      <c r="E7" s="20">
        <f t="shared" si="0"/>
        <v>20300</v>
      </c>
      <c r="F7" s="19">
        <f>SUM(F21:F23,F25:F29)-F24</f>
        <v>22324</v>
      </c>
      <c r="G7" s="42">
        <f t="shared" si="1"/>
        <v>0.587844954708237</v>
      </c>
      <c r="H7" s="23"/>
      <c r="I7" s="19">
        <f>SUM(I21:I23,I25:I29)-I24</f>
        <v>37976</v>
      </c>
      <c r="K7" s="31">
        <f t="shared" ref="K7:K29" si="3">D7-C7</f>
        <v>9410</v>
      </c>
      <c r="N7" s="31">
        <f t="shared" si="2"/>
        <v>9410</v>
      </c>
    </row>
    <row r="8" ht="17.25" customHeight="1" spans="1:17">
      <c r="A8" s="13" t="s">
        <v>275</v>
      </c>
      <c r="B8" s="14">
        <f>SUM(B9:B10)</f>
        <v>137900</v>
      </c>
      <c r="C8" s="14">
        <f>SUM(C9:C10)</f>
        <v>116763</v>
      </c>
      <c r="D8" s="14">
        <f>SUM(D9:D10)</f>
        <v>137900</v>
      </c>
      <c r="E8" s="15">
        <f t="shared" si="0"/>
        <v>0</v>
      </c>
      <c r="F8" s="14">
        <f>SUM(F9:F10)</f>
        <v>5956</v>
      </c>
      <c r="G8" s="41">
        <f t="shared" si="1"/>
        <v>0.0451403625780635</v>
      </c>
      <c r="H8" s="24"/>
      <c r="I8" s="14">
        <f>SUM(I9:I10)</f>
        <v>131944</v>
      </c>
      <c r="K8" s="31">
        <f t="shared" si="3"/>
        <v>21137</v>
      </c>
      <c r="N8" s="31">
        <f t="shared" si="2"/>
        <v>21137</v>
      </c>
      <c r="Q8" s="31">
        <f>SUM(C10:C11)</f>
        <v>115291</v>
      </c>
    </row>
    <row r="9" ht="17.25" customHeight="1" spans="1:17">
      <c r="A9" s="18" t="s">
        <v>273</v>
      </c>
      <c r="B9" s="19">
        <f>SUM(B13,B14,B15,B16,B17,B18,B19,B24)</f>
        <v>97900</v>
      </c>
      <c r="C9" s="19">
        <f>SUM(C13,C14,C15,C16,C17,C18,C19,C24)</f>
        <v>65873</v>
      </c>
      <c r="D9" s="19">
        <f>SUM(D13,D14,D15,D16,D17,D18,D19,D24)</f>
        <v>77600</v>
      </c>
      <c r="E9" s="20">
        <f t="shared" si="0"/>
        <v>-20300</v>
      </c>
      <c r="F9" s="20">
        <f>D9-I9</f>
        <v>-16368</v>
      </c>
      <c r="G9" s="42">
        <f t="shared" si="1"/>
        <v>-0.174186957262047</v>
      </c>
      <c r="H9" s="17"/>
      <c r="I9" s="19">
        <f>SUM(I13,I14,I15,I16,I17,I18,I19,I24)</f>
        <v>93968</v>
      </c>
      <c r="K9" s="31">
        <f t="shared" si="3"/>
        <v>11727</v>
      </c>
      <c r="N9" s="31">
        <f t="shared" si="2"/>
        <v>11727</v>
      </c>
      <c r="Q9" s="31">
        <f>SUM(C6:C7)</f>
        <v>173227.5</v>
      </c>
    </row>
    <row r="10" ht="17.25" customHeight="1" spans="1:14">
      <c r="A10" s="18" t="s">
        <v>274</v>
      </c>
      <c r="B10" s="19">
        <f>B7</f>
        <v>40000</v>
      </c>
      <c r="C10" s="19">
        <f>C7</f>
        <v>50890</v>
      </c>
      <c r="D10" s="19">
        <f>D7</f>
        <v>60300</v>
      </c>
      <c r="E10" s="20">
        <f t="shared" si="0"/>
        <v>20300</v>
      </c>
      <c r="F10" s="19">
        <f>F7</f>
        <v>22324</v>
      </c>
      <c r="G10" s="42">
        <f t="shared" si="1"/>
        <v>0.587844954708237</v>
      </c>
      <c r="H10" s="22"/>
      <c r="I10" s="19">
        <f>I7</f>
        <v>37976</v>
      </c>
      <c r="K10" s="31">
        <f t="shared" si="3"/>
        <v>9410</v>
      </c>
      <c r="N10" s="31">
        <f t="shared" si="2"/>
        <v>9410</v>
      </c>
    </row>
    <row r="11" ht="17.25" customHeight="1" spans="1:17">
      <c r="A11" s="13" t="s">
        <v>276</v>
      </c>
      <c r="B11" s="14">
        <f>SUM(B12,B15:B16,B17:B19)</f>
        <v>95600</v>
      </c>
      <c r="C11" s="14">
        <f>SUM(C12,C15:C16,C17:C19)</f>
        <v>64401</v>
      </c>
      <c r="D11" s="14">
        <f>SUM(D12,D15:D16,D17:D19)</f>
        <v>75800</v>
      </c>
      <c r="E11" s="15">
        <f t="shared" si="0"/>
        <v>-19800</v>
      </c>
      <c r="F11" s="14">
        <f>SUM(F12,F15:F16,F17:F19)</f>
        <v>-15970</v>
      </c>
      <c r="G11" s="41">
        <f t="shared" si="1"/>
        <v>-0.174022011550616</v>
      </c>
      <c r="H11" s="22"/>
      <c r="I11" s="14">
        <f>SUM(I12,I15:I16,I17:I19)</f>
        <v>91770</v>
      </c>
      <c r="K11" s="31">
        <f t="shared" si="3"/>
        <v>11399</v>
      </c>
      <c r="N11" s="31">
        <f t="shared" si="2"/>
        <v>11399</v>
      </c>
      <c r="Q11" s="1">
        <f>Q8/Q9</f>
        <v>0.665546752103448</v>
      </c>
    </row>
    <row r="12" ht="17.25" customHeight="1" spans="1:17">
      <c r="A12" s="18" t="s">
        <v>277</v>
      </c>
      <c r="B12" s="19">
        <f>SUM(B13:B14)</f>
        <v>35250</v>
      </c>
      <c r="C12" s="19">
        <f>SUM(C13:C14)</f>
        <v>21037</v>
      </c>
      <c r="D12" s="19">
        <f>SUM(D13:D14)</f>
        <v>26370</v>
      </c>
      <c r="E12" s="20">
        <f t="shared" si="0"/>
        <v>-8880</v>
      </c>
      <c r="F12" s="19">
        <f>SUM(F13:F14)</f>
        <v>-5640</v>
      </c>
      <c r="G12" s="42">
        <f t="shared" si="1"/>
        <v>-0.176194939081537</v>
      </c>
      <c r="H12" s="22"/>
      <c r="I12" s="19">
        <f>SUM(I13:I14)</f>
        <v>32010</v>
      </c>
      <c r="K12" s="31">
        <f t="shared" si="3"/>
        <v>5333</v>
      </c>
      <c r="N12" s="31">
        <f t="shared" si="2"/>
        <v>5333</v>
      </c>
      <c r="Q12" s="1">
        <v>7500</v>
      </c>
    </row>
    <row r="13" ht="17.25" customHeight="1" spans="1:17">
      <c r="A13" s="18" t="s">
        <v>278</v>
      </c>
      <c r="B13" s="43">
        <v>35250</v>
      </c>
      <c r="C13" s="20">
        <v>21037</v>
      </c>
      <c r="D13" s="20">
        <v>26370</v>
      </c>
      <c r="E13" s="20">
        <f t="shared" si="0"/>
        <v>-8880</v>
      </c>
      <c r="F13" s="20">
        <f t="shared" ref="F13:F29" si="4">D13-I13</f>
        <v>-5640</v>
      </c>
      <c r="G13" s="42">
        <f t="shared" si="1"/>
        <v>-0.176194939081537</v>
      </c>
      <c r="H13" s="25"/>
      <c r="I13" s="32">
        <v>32010</v>
      </c>
      <c r="J13" s="33"/>
      <c r="K13" s="31">
        <f t="shared" si="3"/>
        <v>5333</v>
      </c>
      <c r="L13" s="34"/>
      <c r="N13" s="31">
        <f t="shared" si="2"/>
        <v>5333</v>
      </c>
      <c r="Q13" s="1">
        <f>Q11*Q12</f>
        <v>4991.60064077586</v>
      </c>
    </row>
    <row r="14" ht="17.25" customHeight="1" spans="1:12">
      <c r="A14" s="18" t="s">
        <v>279</v>
      </c>
      <c r="B14" s="19"/>
      <c r="C14" s="20"/>
      <c r="D14" s="20"/>
      <c r="E14" s="20">
        <f t="shared" si="0"/>
        <v>0</v>
      </c>
      <c r="F14" s="20">
        <f t="shared" si="4"/>
        <v>0</v>
      </c>
      <c r="G14" s="42"/>
      <c r="H14" s="25"/>
      <c r="I14" s="32"/>
      <c r="J14" s="34"/>
      <c r="K14" s="31">
        <f t="shared" si="3"/>
        <v>0</v>
      </c>
      <c r="L14" s="35"/>
    </row>
    <row r="15" ht="17.25" customHeight="1" spans="1:14">
      <c r="A15" s="18" t="s">
        <v>280</v>
      </c>
      <c r="B15" s="19">
        <v>0</v>
      </c>
      <c r="C15" s="20"/>
      <c r="D15" s="20"/>
      <c r="E15" s="20">
        <f t="shared" si="0"/>
        <v>0</v>
      </c>
      <c r="F15" s="20">
        <f t="shared" si="4"/>
        <v>0</v>
      </c>
      <c r="G15" s="42"/>
      <c r="H15" s="25"/>
      <c r="I15" s="36"/>
      <c r="J15" s="34"/>
      <c r="K15" s="31">
        <f t="shared" si="3"/>
        <v>0</v>
      </c>
      <c r="L15" s="34"/>
      <c r="N15" s="31">
        <f>D15-C15</f>
        <v>0</v>
      </c>
    </row>
    <row r="16" ht="17.25" customHeight="1" spans="1:12">
      <c r="A16" s="18" t="s">
        <v>281</v>
      </c>
      <c r="B16" s="44">
        <v>14600</v>
      </c>
      <c r="C16" s="20">
        <v>15843</v>
      </c>
      <c r="D16" s="20">
        <v>16580</v>
      </c>
      <c r="E16" s="20">
        <f t="shared" si="0"/>
        <v>1980</v>
      </c>
      <c r="F16" s="20">
        <f t="shared" si="4"/>
        <v>2655</v>
      </c>
      <c r="G16" s="42">
        <f t="shared" si="1"/>
        <v>0.190664272890485</v>
      </c>
      <c r="H16" s="25"/>
      <c r="I16" s="36">
        <v>13925</v>
      </c>
      <c r="J16" s="34"/>
      <c r="K16" s="31">
        <f t="shared" si="3"/>
        <v>737</v>
      </c>
      <c r="L16" s="34"/>
    </row>
    <row r="17" ht="17.25" customHeight="1" spans="1:14">
      <c r="A17" s="18" t="s">
        <v>282</v>
      </c>
      <c r="B17" s="44">
        <v>7880</v>
      </c>
      <c r="C17" s="20">
        <v>6342</v>
      </c>
      <c r="D17" s="20">
        <v>7350</v>
      </c>
      <c r="E17" s="20">
        <f t="shared" si="0"/>
        <v>-530</v>
      </c>
      <c r="F17" s="20">
        <f t="shared" si="4"/>
        <v>-1006</v>
      </c>
      <c r="G17" s="42">
        <f t="shared" si="1"/>
        <v>-0.120392532312111</v>
      </c>
      <c r="H17" s="25"/>
      <c r="I17" s="37">
        <v>8356</v>
      </c>
      <c r="J17" s="34"/>
      <c r="K17" s="31">
        <f t="shared" si="3"/>
        <v>1008</v>
      </c>
      <c r="L17" s="34"/>
      <c r="N17" s="31">
        <f>D17-C17</f>
        <v>1008</v>
      </c>
    </row>
    <row r="18" ht="17.25" customHeight="1" spans="1:14">
      <c r="A18" s="18" t="s">
        <v>283</v>
      </c>
      <c r="B18" s="19">
        <v>30100</v>
      </c>
      <c r="C18" s="20">
        <v>15787</v>
      </c>
      <c r="D18" s="20">
        <v>18700</v>
      </c>
      <c r="E18" s="20">
        <f t="shared" si="0"/>
        <v>-11400</v>
      </c>
      <c r="F18" s="20">
        <f t="shared" si="4"/>
        <v>-9534</v>
      </c>
      <c r="G18" s="42">
        <f t="shared" si="1"/>
        <v>-0.337677976907275</v>
      </c>
      <c r="H18" s="25"/>
      <c r="I18" s="37">
        <v>28234</v>
      </c>
      <c r="J18" s="34"/>
      <c r="K18" s="31">
        <f t="shared" si="3"/>
        <v>2913</v>
      </c>
      <c r="L18" s="34"/>
      <c r="N18" s="31">
        <f>D18-C18</f>
        <v>2913</v>
      </c>
    </row>
    <row r="19" ht="17.25" customHeight="1" spans="1:14">
      <c r="A19" s="18" t="s">
        <v>284</v>
      </c>
      <c r="B19" s="44">
        <v>7770</v>
      </c>
      <c r="C19" s="20">
        <v>5392</v>
      </c>
      <c r="D19" s="20">
        <v>6800</v>
      </c>
      <c r="E19" s="20">
        <f t="shared" si="0"/>
        <v>-970</v>
      </c>
      <c r="F19" s="20">
        <f t="shared" si="4"/>
        <v>-2445</v>
      </c>
      <c r="G19" s="42">
        <f t="shared" si="1"/>
        <v>-0.2644672796106</v>
      </c>
      <c r="H19" s="25"/>
      <c r="I19" s="37">
        <v>9245</v>
      </c>
      <c r="J19" s="38"/>
      <c r="K19" s="31">
        <f t="shared" si="3"/>
        <v>1408</v>
      </c>
      <c r="L19" s="38"/>
      <c r="N19" s="31">
        <f>D19-C19</f>
        <v>1408</v>
      </c>
    </row>
    <row r="20" ht="17.25" customHeight="1" spans="1:14">
      <c r="A20" s="13" t="s">
        <v>285</v>
      </c>
      <c r="B20" s="14">
        <f>SUM(B21:B23,B25:B26,B27:B29)</f>
        <v>42300</v>
      </c>
      <c r="C20" s="14">
        <f>SUM(C21:C23,C25:C26,C27:C29)</f>
        <v>52362</v>
      </c>
      <c r="D20" s="14">
        <f>SUM(D21:D23,D25:D26,D27:D29)</f>
        <v>62100</v>
      </c>
      <c r="E20" s="15">
        <f t="shared" si="0"/>
        <v>19800</v>
      </c>
      <c r="F20" s="14">
        <f>SUM(F21:F23,F25:F26,F27:F29)</f>
        <v>21926</v>
      </c>
      <c r="G20" s="41">
        <f t="shared" si="1"/>
        <v>0.545775874943994</v>
      </c>
      <c r="H20" s="25"/>
      <c r="I20" s="14">
        <f>SUM(I21:I23,I25:I26,I27:I29)</f>
        <v>40174</v>
      </c>
      <c r="K20" s="31">
        <f t="shared" si="3"/>
        <v>9738</v>
      </c>
      <c r="N20" s="31">
        <f>D20-C20</f>
        <v>9738</v>
      </c>
    </row>
    <row r="21" ht="17.25" customHeight="1" spans="1:14">
      <c r="A21" s="18" t="s">
        <v>286</v>
      </c>
      <c r="B21" s="19">
        <v>4300</v>
      </c>
      <c r="C21" s="20">
        <v>3658</v>
      </c>
      <c r="D21" s="20">
        <v>3950</v>
      </c>
      <c r="E21" s="20">
        <f t="shared" si="0"/>
        <v>-350</v>
      </c>
      <c r="F21" s="20">
        <f t="shared" si="4"/>
        <v>-181</v>
      </c>
      <c r="G21" s="42">
        <f t="shared" si="1"/>
        <v>-0.0438150568869523</v>
      </c>
      <c r="H21" s="25"/>
      <c r="I21" s="37">
        <v>4131</v>
      </c>
      <c r="K21" s="31">
        <f t="shared" si="3"/>
        <v>292</v>
      </c>
      <c r="N21" s="31">
        <f>D21-C21</f>
        <v>292</v>
      </c>
    </row>
    <row r="22" ht="17.25" customHeight="1" spans="1:14">
      <c r="A22" s="18" t="s">
        <v>287</v>
      </c>
      <c r="B22" s="19">
        <v>2700</v>
      </c>
      <c r="C22" s="20">
        <v>1925</v>
      </c>
      <c r="D22" s="20">
        <v>2200</v>
      </c>
      <c r="E22" s="20">
        <f t="shared" si="0"/>
        <v>-500</v>
      </c>
      <c r="F22" s="20">
        <f t="shared" si="4"/>
        <v>-409</v>
      </c>
      <c r="G22" s="42">
        <f t="shared" si="1"/>
        <v>-0.156765044078191</v>
      </c>
      <c r="H22" s="25"/>
      <c r="I22" s="39">
        <v>2609</v>
      </c>
      <c r="K22" s="31">
        <f t="shared" si="3"/>
        <v>275</v>
      </c>
      <c r="N22" s="31">
        <f t="shared" ref="N22:N33" si="5">D22-C22</f>
        <v>275</v>
      </c>
    </row>
    <row r="23" ht="17.25" customHeight="1" spans="1:14">
      <c r="A23" s="26" t="s">
        <v>288</v>
      </c>
      <c r="B23" s="19">
        <v>12100</v>
      </c>
      <c r="C23" s="20">
        <v>3251</v>
      </c>
      <c r="D23" s="20">
        <v>4800</v>
      </c>
      <c r="E23" s="20">
        <f t="shared" si="0"/>
        <v>-7300</v>
      </c>
      <c r="F23" s="20">
        <f t="shared" si="4"/>
        <v>-4947</v>
      </c>
      <c r="G23" s="42">
        <f t="shared" si="1"/>
        <v>-0.507540781779009</v>
      </c>
      <c r="H23" s="25"/>
      <c r="I23" s="36">
        <v>9747</v>
      </c>
      <c r="K23" s="31">
        <f t="shared" si="3"/>
        <v>1549</v>
      </c>
      <c r="N23" s="31">
        <f t="shared" si="5"/>
        <v>1549</v>
      </c>
    </row>
    <row r="24" ht="17.25" customHeight="1" spans="1:14">
      <c r="A24" s="26" t="s">
        <v>289</v>
      </c>
      <c r="B24" s="19">
        <v>2300</v>
      </c>
      <c r="C24" s="20">
        <v>1472</v>
      </c>
      <c r="D24" s="20">
        <v>1800</v>
      </c>
      <c r="E24" s="20">
        <f t="shared" si="0"/>
        <v>-500</v>
      </c>
      <c r="F24" s="20">
        <f t="shared" si="4"/>
        <v>-398</v>
      </c>
      <c r="G24" s="42">
        <f t="shared" si="1"/>
        <v>-0.181073703366697</v>
      </c>
      <c r="H24" s="25"/>
      <c r="I24" s="36">
        <v>2198</v>
      </c>
      <c r="K24" s="31">
        <f t="shared" si="3"/>
        <v>328</v>
      </c>
      <c r="N24" s="31">
        <f t="shared" si="5"/>
        <v>328</v>
      </c>
    </row>
    <row r="25" ht="17.25" customHeight="1" spans="1:14">
      <c r="A25" s="26" t="s">
        <v>290</v>
      </c>
      <c r="B25" s="19">
        <v>2000</v>
      </c>
      <c r="C25" s="20">
        <v>6614</v>
      </c>
      <c r="D25" s="20">
        <v>8700</v>
      </c>
      <c r="E25" s="20">
        <f t="shared" si="0"/>
        <v>6700</v>
      </c>
      <c r="F25" s="20">
        <f t="shared" si="4"/>
        <v>6400</v>
      </c>
      <c r="G25" s="42">
        <f t="shared" si="1"/>
        <v>2.78260869565217</v>
      </c>
      <c r="H25" s="25"/>
      <c r="I25" s="36">
        <v>2300</v>
      </c>
      <c r="K25" s="31">
        <f t="shared" si="3"/>
        <v>2086</v>
      </c>
      <c r="N25" s="31">
        <f t="shared" si="5"/>
        <v>2086</v>
      </c>
    </row>
    <row r="26" ht="17.25" customHeight="1" spans="1:14">
      <c r="A26" s="26" t="s">
        <v>291</v>
      </c>
      <c r="B26" s="19">
        <v>2600</v>
      </c>
      <c r="C26" s="20">
        <v>19738</v>
      </c>
      <c r="D26" s="20">
        <v>25000</v>
      </c>
      <c r="E26" s="20">
        <f t="shared" si="0"/>
        <v>22400</v>
      </c>
      <c r="F26" s="20">
        <f t="shared" si="4"/>
        <v>22231</v>
      </c>
      <c r="G26" s="42">
        <f t="shared" si="1"/>
        <v>8.02853015529072</v>
      </c>
      <c r="H26" s="25"/>
      <c r="I26" s="36">
        <v>2769</v>
      </c>
      <c r="K26" s="31">
        <f t="shared" si="3"/>
        <v>5262</v>
      </c>
      <c r="N26" s="31">
        <f t="shared" si="5"/>
        <v>5262</v>
      </c>
    </row>
    <row r="27" ht="17.25" customHeight="1" spans="1:14">
      <c r="A27" s="26" t="s">
        <v>292</v>
      </c>
      <c r="B27" s="19">
        <v>60</v>
      </c>
      <c r="C27" s="20">
        <v>0</v>
      </c>
      <c r="D27" s="20">
        <v>65</v>
      </c>
      <c r="E27" s="20">
        <f t="shared" si="0"/>
        <v>5</v>
      </c>
      <c r="F27" s="20">
        <f t="shared" si="4"/>
        <v>1</v>
      </c>
      <c r="G27" s="42">
        <f t="shared" si="1"/>
        <v>0.015625</v>
      </c>
      <c r="H27" s="25"/>
      <c r="I27" s="36">
        <v>64</v>
      </c>
      <c r="K27" s="31">
        <f t="shared" si="3"/>
        <v>65</v>
      </c>
      <c r="N27" s="31">
        <f t="shared" si="5"/>
        <v>65</v>
      </c>
    </row>
    <row r="28" ht="17.25" customHeight="1" spans="1:14">
      <c r="A28" s="26" t="s">
        <v>293</v>
      </c>
      <c r="B28" s="19">
        <v>1100</v>
      </c>
      <c r="C28" s="20">
        <v>1162</v>
      </c>
      <c r="D28" s="20">
        <v>1200</v>
      </c>
      <c r="E28" s="20">
        <f t="shared" si="0"/>
        <v>100</v>
      </c>
      <c r="F28" s="20">
        <f t="shared" si="4"/>
        <v>-1605</v>
      </c>
      <c r="G28" s="42"/>
      <c r="H28" s="25"/>
      <c r="I28" s="36">
        <v>2805</v>
      </c>
      <c r="K28" s="31"/>
      <c r="N28" s="31"/>
    </row>
    <row r="29" ht="17.25" customHeight="1" spans="1:14">
      <c r="A29" s="26" t="s">
        <v>294</v>
      </c>
      <c r="B29" s="19">
        <v>17440</v>
      </c>
      <c r="C29" s="20">
        <v>16014</v>
      </c>
      <c r="D29" s="20">
        <v>16185</v>
      </c>
      <c r="E29" s="20">
        <f t="shared" si="0"/>
        <v>-1255</v>
      </c>
      <c r="F29" s="20">
        <f t="shared" si="4"/>
        <v>436</v>
      </c>
      <c r="G29" s="42">
        <f t="shared" si="1"/>
        <v>0.027684297415709</v>
      </c>
      <c r="H29" s="25"/>
      <c r="I29" s="36">
        <v>15749</v>
      </c>
      <c r="K29" s="31">
        <f t="shared" si="3"/>
        <v>171</v>
      </c>
      <c r="N29" s="31">
        <f t="shared" si="5"/>
        <v>171</v>
      </c>
    </row>
    <row r="30" ht="17.25" customHeight="1" spans="1:14">
      <c r="A30" s="13" t="s">
        <v>295</v>
      </c>
      <c r="B30" s="14">
        <f>SUM(B31,B32,B33:B35,B36)</f>
        <v>74400</v>
      </c>
      <c r="C30" s="14">
        <f>SUM(C31,C32,C33:C35,C36)</f>
        <v>56464.5</v>
      </c>
      <c r="D30" s="14">
        <f>SUM(D31,D32,D33:D35,D36)</f>
        <v>64770</v>
      </c>
      <c r="E30" s="15">
        <f t="shared" si="0"/>
        <v>-9630</v>
      </c>
      <c r="F30" s="14">
        <f>SUM(F31,F32,F33:F35,F36)</f>
        <v>-5904.5</v>
      </c>
      <c r="G30" s="41">
        <f t="shared" si="1"/>
        <v>-0.0835320169511911</v>
      </c>
      <c r="H30" s="25"/>
      <c r="I30" s="14">
        <f>SUM(I31,I32,I33:I35,I36)</f>
        <v>70673.5</v>
      </c>
      <c r="N30" s="31">
        <f t="shared" si="5"/>
        <v>8305.5</v>
      </c>
    </row>
    <row r="31" ht="17.25" customHeight="1" spans="1:14">
      <c r="A31" s="18" t="s">
        <v>296</v>
      </c>
      <c r="B31" s="19">
        <f t="shared" ref="B31:D32" si="6">B13</f>
        <v>35250</v>
      </c>
      <c r="C31" s="19">
        <f t="shared" si="6"/>
        <v>21037</v>
      </c>
      <c r="D31" s="19">
        <f t="shared" si="6"/>
        <v>26370</v>
      </c>
      <c r="E31" s="20">
        <f t="shared" si="0"/>
        <v>-8880</v>
      </c>
      <c r="F31" s="20">
        <f>D31-I31</f>
        <v>-5640</v>
      </c>
      <c r="G31" s="42">
        <f t="shared" si="1"/>
        <v>-0.176194939081537</v>
      </c>
      <c r="H31" s="25"/>
      <c r="I31" s="19">
        <f>I13</f>
        <v>32010</v>
      </c>
      <c r="N31" s="31">
        <f t="shared" si="5"/>
        <v>5333</v>
      </c>
    </row>
    <row r="32" ht="17.25" customHeight="1" spans="1:14">
      <c r="A32" s="18" t="s">
        <v>297</v>
      </c>
      <c r="B32" s="19">
        <f t="shared" si="6"/>
        <v>0</v>
      </c>
      <c r="C32" s="19">
        <f t="shared" si="6"/>
        <v>0</v>
      </c>
      <c r="D32" s="19">
        <f t="shared" si="6"/>
        <v>0</v>
      </c>
      <c r="E32" s="20">
        <f t="shared" si="0"/>
        <v>0</v>
      </c>
      <c r="F32" s="20">
        <f>D32-I32</f>
        <v>0</v>
      </c>
      <c r="G32" s="42"/>
      <c r="H32" s="25"/>
      <c r="I32" s="19">
        <f>I14+I15</f>
        <v>0</v>
      </c>
      <c r="N32" s="31">
        <f t="shared" si="5"/>
        <v>0</v>
      </c>
    </row>
    <row r="33" ht="17.25" customHeight="1" spans="1:14">
      <c r="A33" s="18" t="s">
        <v>298</v>
      </c>
      <c r="B33" s="19">
        <v>75</v>
      </c>
      <c r="C33" s="19">
        <v>48</v>
      </c>
      <c r="D33" s="19">
        <v>60</v>
      </c>
      <c r="E33" s="20">
        <f t="shared" si="0"/>
        <v>-15</v>
      </c>
      <c r="F33" s="20">
        <f>D33-I33</f>
        <v>-8</v>
      </c>
      <c r="G33" s="42">
        <f t="shared" si="1"/>
        <v>-0.117647058823529</v>
      </c>
      <c r="H33" s="25"/>
      <c r="I33" s="19">
        <v>68</v>
      </c>
      <c r="K33" s="31">
        <f>D33-C33</f>
        <v>12</v>
      </c>
      <c r="N33" s="31">
        <f t="shared" si="5"/>
        <v>12</v>
      </c>
    </row>
    <row r="34" ht="17.25" customHeight="1" spans="1:11">
      <c r="A34" s="18" t="s">
        <v>299</v>
      </c>
      <c r="B34" s="19">
        <v>5355</v>
      </c>
      <c r="C34" s="19">
        <v>2103</v>
      </c>
      <c r="D34" s="19">
        <v>2445</v>
      </c>
      <c r="E34" s="20">
        <f t="shared" si="0"/>
        <v>-2910</v>
      </c>
      <c r="F34" s="20">
        <f>D34-I34</f>
        <v>-2730</v>
      </c>
      <c r="G34" s="42">
        <f t="shared" si="1"/>
        <v>-0.527536231884058</v>
      </c>
      <c r="H34" s="25"/>
      <c r="I34" s="19">
        <v>5175</v>
      </c>
      <c r="K34" s="31">
        <f>D34-C34</f>
        <v>342</v>
      </c>
    </row>
    <row r="35" ht="17.25" customHeight="1" spans="1:9">
      <c r="A35" s="18" t="s">
        <v>300</v>
      </c>
      <c r="B35" s="19">
        <f t="shared" ref="B35:D36" si="7">B16*1.5</f>
        <v>21900</v>
      </c>
      <c r="C35" s="19">
        <f>C16*1.5-1</f>
        <v>23763.5</v>
      </c>
      <c r="D35" s="19">
        <f t="shared" si="7"/>
        <v>24870</v>
      </c>
      <c r="E35" s="20">
        <f t="shared" si="0"/>
        <v>2970</v>
      </c>
      <c r="F35" s="19">
        <f>F16*1.5</f>
        <v>3982.5</v>
      </c>
      <c r="G35" s="42">
        <f t="shared" si="1"/>
        <v>0.190664272890485</v>
      </c>
      <c r="H35" s="27"/>
      <c r="I35" s="19">
        <f>I16*1.5</f>
        <v>20887.5</v>
      </c>
    </row>
    <row r="36" ht="17.25" customHeight="1" spans="1:9">
      <c r="A36" s="18" t="s">
        <v>301</v>
      </c>
      <c r="B36" s="19">
        <f t="shared" si="7"/>
        <v>11820</v>
      </c>
      <c r="C36" s="19">
        <f t="shared" si="7"/>
        <v>9513</v>
      </c>
      <c r="D36" s="19">
        <f t="shared" si="7"/>
        <v>11025</v>
      </c>
      <c r="E36" s="20">
        <f>SUM(E37:E38)</f>
        <v>-180824</v>
      </c>
      <c r="F36" s="19">
        <f>F17*1.5</f>
        <v>-1509</v>
      </c>
      <c r="G36" s="42">
        <f t="shared" si="1"/>
        <v>-0.120322348998644</v>
      </c>
      <c r="H36" s="27"/>
      <c r="I36" s="19">
        <f>I17*1.5-1</f>
        <v>12533</v>
      </c>
    </row>
    <row r="37" ht="17.25" customHeight="1" spans="1:11">
      <c r="A37" s="13" t="s">
        <v>302</v>
      </c>
      <c r="B37" s="14">
        <f>SUM(B38:B43)</f>
        <v>248400</v>
      </c>
      <c r="C37" s="14">
        <f>SUM(C38:C43)</f>
        <v>52358</v>
      </c>
      <c r="D37" s="14">
        <f>SUM(D38:D43)</f>
        <v>67183</v>
      </c>
      <c r="E37" s="15">
        <f>SUM(E38:E43)</f>
        <v>-181217</v>
      </c>
      <c r="F37" s="14">
        <f>SUM(F38:F43)</f>
        <v>-139538</v>
      </c>
      <c r="G37" s="41">
        <f t="shared" si="1"/>
        <v>-0.675006409605217</v>
      </c>
      <c r="H37" s="27"/>
      <c r="I37" s="14">
        <f>SUM(I38:I43)</f>
        <v>206721</v>
      </c>
      <c r="K37" s="31">
        <f>D37-I37</f>
        <v>-139538</v>
      </c>
    </row>
    <row r="38" ht="17.25" customHeight="1" spans="1:11">
      <c r="A38" s="28" t="s">
        <v>303</v>
      </c>
      <c r="B38" s="29">
        <v>0</v>
      </c>
      <c r="C38" s="20">
        <v>393</v>
      </c>
      <c r="D38" s="20">
        <v>393</v>
      </c>
      <c r="E38" s="20">
        <f t="shared" si="0"/>
        <v>393</v>
      </c>
      <c r="F38" s="20">
        <f t="shared" ref="F38:F43" si="8">D38-I38</f>
        <v>-1957</v>
      </c>
      <c r="G38" s="42">
        <f t="shared" si="1"/>
        <v>-0.832765957446808</v>
      </c>
      <c r="H38" s="27"/>
      <c r="I38" s="20">
        <v>2350</v>
      </c>
      <c r="K38" s="31">
        <f t="shared" ref="K38:K43" si="9">D38-C38</f>
        <v>0</v>
      </c>
    </row>
    <row r="39" ht="17.25" customHeight="1" spans="1:11">
      <c r="A39" s="28" t="s">
        <v>304</v>
      </c>
      <c r="B39" s="29">
        <v>244650</v>
      </c>
      <c r="C39" s="20">
        <v>50002</v>
      </c>
      <c r="D39" s="20">
        <v>64336</v>
      </c>
      <c r="E39" s="20">
        <f t="shared" si="0"/>
        <v>-180314</v>
      </c>
      <c r="F39" s="20">
        <f t="shared" si="8"/>
        <v>-135847</v>
      </c>
      <c r="G39" s="42">
        <f t="shared" si="1"/>
        <v>-0.678614068127663</v>
      </c>
      <c r="H39" s="27"/>
      <c r="I39" s="36">
        <v>200183</v>
      </c>
      <c r="K39" s="31">
        <f t="shared" si="9"/>
        <v>14334</v>
      </c>
    </row>
    <row r="40" ht="17.25" customHeight="1" spans="1:11">
      <c r="A40" s="28" t="s">
        <v>305</v>
      </c>
      <c r="B40" s="29">
        <v>2400</v>
      </c>
      <c r="C40" s="20">
        <v>587</v>
      </c>
      <c r="D40" s="20">
        <v>1000</v>
      </c>
      <c r="E40" s="20">
        <f t="shared" si="0"/>
        <v>-1400</v>
      </c>
      <c r="F40" s="20">
        <f t="shared" si="8"/>
        <v>-1797</v>
      </c>
      <c r="G40" s="42">
        <f t="shared" si="1"/>
        <v>-0.642474079370754</v>
      </c>
      <c r="H40" s="27"/>
      <c r="I40" s="36">
        <v>2797</v>
      </c>
      <c r="K40" s="31">
        <f t="shared" si="9"/>
        <v>413</v>
      </c>
    </row>
    <row r="41" ht="17.25" customHeight="1" spans="1:11">
      <c r="A41" s="28" t="s">
        <v>306</v>
      </c>
      <c r="B41" s="29">
        <v>900</v>
      </c>
      <c r="C41" s="20">
        <v>974</v>
      </c>
      <c r="D41" s="20">
        <v>974</v>
      </c>
      <c r="E41" s="20">
        <f t="shared" si="0"/>
        <v>74</v>
      </c>
      <c r="F41" s="20">
        <f t="shared" si="8"/>
        <v>79</v>
      </c>
      <c r="G41" s="42">
        <f t="shared" si="1"/>
        <v>0.0882681564245811</v>
      </c>
      <c r="H41" s="27"/>
      <c r="I41" s="40">
        <v>895</v>
      </c>
      <c r="K41" s="31">
        <f t="shared" si="9"/>
        <v>0</v>
      </c>
    </row>
    <row r="42" ht="17.25" customHeight="1" spans="1:11">
      <c r="A42" s="28" t="s">
        <v>307</v>
      </c>
      <c r="B42" s="29">
        <v>120</v>
      </c>
      <c r="C42" s="20">
        <v>130</v>
      </c>
      <c r="D42" s="20">
        <v>150</v>
      </c>
      <c r="E42" s="20">
        <f t="shared" si="0"/>
        <v>30</v>
      </c>
      <c r="F42" s="20">
        <f t="shared" si="8"/>
        <v>15</v>
      </c>
      <c r="G42" s="42">
        <f t="shared" si="1"/>
        <v>0.111111111111111</v>
      </c>
      <c r="H42" s="27"/>
      <c r="I42" s="20">
        <v>135</v>
      </c>
      <c r="K42" s="31">
        <f t="shared" si="9"/>
        <v>20</v>
      </c>
    </row>
    <row r="43" ht="17.25" customHeight="1" spans="1:11">
      <c r="A43" s="28" t="s">
        <v>308</v>
      </c>
      <c r="B43" s="29">
        <v>330</v>
      </c>
      <c r="C43" s="20">
        <v>272</v>
      </c>
      <c r="D43" s="20">
        <v>330</v>
      </c>
      <c r="E43" s="20">
        <f t="shared" si="0"/>
        <v>0</v>
      </c>
      <c r="F43" s="20">
        <f t="shared" si="8"/>
        <v>-31</v>
      </c>
      <c r="G43" s="42">
        <f t="shared" si="1"/>
        <v>-0.0858725761772853</v>
      </c>
      <c r="H43" s="27"/>
      <c r="I43" s="20">
        <v>361</v>
      </c>
      <c r="K43" s="31">
        <f t="shared" si="9"/>
        <v>58</v>
      </c>
    </row>
    <row r="44" spans="4:9">
      <c r="D44" s="30"/>
      <c r="E44" s="30"/>
      <c r="F44" s="30"/>
      <c r="I44" s="30"/>
    </row>
    <row r="45" spans="4:9">
      <c r="D45" s="3">
        <f>(D22+1500)/D9</f>
        <v>0.047680412371134</v>
      </c>
      <c r="I45" s="3">
        <f>I22/I9</f>
        <v>0.0277647709858675</v>
      </c>
    </row>
  </sheetData>
  <mergeCells count="5">
    <mergeCell ref="A1:G1"/>
    <mergeCell ref="D3:G3"/>
    <mergeCell ref="A3:A4"/>
    <mergeCell ref="B3:B4"/>
    <mergeCell ref="C3:C4"/>
  </mergeCells>
  <pageMargins left="0.747916666666667" right="0" top="0.590277777777778" bottom="0.393055555555556" header="0.511805555555556" footer="0.511805555555556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Q44"/>
  <sheetViews>
    <sheetView workbookViewId="0">
      <selection activeCell="O19" sqref="O19"/>
    </sheetView>
  </sheetViews>
  <sheetFormatPr defaultColWidth="9" defaultRowHeight="12.75"/>
  <cols>
    <col min="1" max="1" width="27.875" style="1" customWidth="1"/>
    <col min="2" max="2" width="8.875" style="2" customWidth="1"/>
    <col min="3" max="3" width="9.25" style="1" customWidth="1"/>
    <col min="4" max="4" width="9.25" style="3" customWidth="1"/>
    <col min="5" max="6" width="8.875" style="3" customWidth="1"/>
    <col min="7" max="7" width="8.875" style="1" customWidth="1"/>
    <col min="8" max="8" width="2.375" style="1" customWidth="1"/>
    <col min="9" max="9" width="9.5" style="3" customWidth="1"/>
    <col min="10" max="16384" width="9" style="1"/>
  </cols>
  <sheetData>
    <row r="1" ht="21.75" customHeight="1" spans="1:8">
      <c r="A1" s="4" t="s">
        <v>311</v>
      </c>
      <c r="B1" s="4"/>
      <c r="C1" s="4"/>
      <c r="D1" s="4"/>
      <c r="E1" s="4"/>
      <c r="F1" s="4"/>
      <c r="G1" s="4"/>
      <c r="H1" s="4"/>
    </row>
    <row r="2" ht="15.75" customHeight="1" spans="1:7">
      <c r="A2" s="2" t="s">
        <v>1</v>
      </c>
      <c r="G2" s="2" t="s">
        <v>119</v>
      </c>
    </row>
    <row r="3" ht="14.25" customHeight="1" spans="1:8">
      <c r="A3" s="5" t="s">
        <v>263</v>
      </c>
      <c r="B3" s="6" t="s">
        <v>264</v>
      </c>
      <c r="C3" s="6" t="s">
        <v>309</v>
      </c>
      <c r="D3" s="7" t="s">
        <v>267</v>
      </c>
      <c r="E3" s="7"/>
      <c r="F3" s="7"/>
      <c r="G3" s="7"/>
      <c r="H3" s="8"/>
    </row>
    <row r="4" ht="14.25" customHeight="1" spans="1:13">
      <c r="A4" s="9"/>
      <c r="B4" s="10"/>
      <c r="C4" s="10"/>
      <c r="D4" s="11" t="s">
        <v>17</v>
      </c>
      <c r="E4" s="11" t="s">
        <v>270</v>
      </c>
      <c r="F4" s="11" t="s">
        <v>310</v>
      </c>
      <c r="G4" s="11" t="s">
        <v>271</v>
      </c>
      <c r="H4" s="12"/>
      <c r="M4" s="1">
        <f>K9/K6</f>
        <v>0.573257771560003</v>
      </c>
    </row>
    <row r="5" ht="17.25" customHeight="1" spans="1:11">
      <c r="A5" s="13" t="s">
        <v>272</v>
      </c>
      <c r="B5" s="14">
        <f>SUM(B6:B7)</f>
        <v>198400</v>
      </c>
      <c r="C5" s="14">
        <f>SUM(C6:C7)</f>
        <v>130047.5</v>
      </c>
      <c r="D5" s="14">
        <f>SUM(D6:D7)</f>
        <v>160000</v>
      </c>
      <c r="E5" s="15">
        <f t="shared" ref="E5:E42" si="0">D5-B5</f>
        <v>-38400</v>
      </c>
      <c r="F5" s="14">
        <f>SUM(F6:F7)</f>
        <v>-33969</v>
      </c>
      <c r="G5" s="16">
        <f t="shared" ref="G5:G42" si="1">D5/I5-1</f>
        <v>-0.175125922183442</v>
      </c>
      <c r="H5" s="17"/>
      <c r="I5" s="14">
        <f>SUM(I6:I7)</f>
        <v>193969</v>
      </c>
      <c r="K5" s="31">
        <f>D5-C5</f>
        <v>29952.5</v>
      </c>
    </row>
    <row r="6" ht="17.25" customHeight="1" spans="1:14">
      <c r="A6" s="18" t="s">
        <v>273</v>
      </c>
      <c r="B6" s="19">
        <f>SUM(B9,B29)</f>
        <v>166500</v>
      </c>
      <c r="C6" s="19">
        <f>SUM(C9,C29)</f>
        <v>101413.5</v>
      </c>
      <c r="D6" s="19">
        <f>SUM(D9,D29)</f>
        <v>122500</v>
      </c>
      <c r="E6" s="20">
        <f t="shared" si="0"/>
        <v>-44000</v>
      </c>
      <c r="F6" s="19">
        <f>SUM(F9,F29)</f>
        <v>-39256</v>
      </c>
      <c r="G6" s="21">
        <f t="shared" si="1"/>
        <v>-0.24268651549247</v>
      </c>
      <c r="H6" s="22"/>
      <c r="I6" s="19">
        <f>SUM(I9,I29)</f>
        <v>161756</v>
      </c>
      <c r="K6" s="31">
        <f>D6-C6</f>
        <v>21086.5</v>
      </c>
      <c r="N6" s="31">
        <f t="shared" ref="N6:N13" si="2">D6-C6</f>
        <v>21086.5</v>
      </c>
    </row>
    <row r="7" ht="17.25" customHeight="1" spans="1:14">
      <c r="A7" s="18" t="s">
        <v>274</v>
      </c>
      <c r="B7" s="19">
        <f>SUM(B21:B23,B25:B28)-B24</f>
        <v>31900</v>
      </c>
      <c r="C7" s="19">
        <f>SUM(C21:C23,C25:C28)-C24</f>
        <v>28634</v>
      </c>
      <c r="D7" s="19">
        <f>SUM(D21:D23,D25:D28)-D24</f>
        <v>37500</v>
      </c>
      <c r="E7" s="20">
        <f t="shared" si="0"/>
        <v>5600</v>
      </c>
      <c r="F7" s="19">
        <f>SUM(F21:F23,F25:F28)-F24</f>
        <v>5287</v>
      </c>
      <c r="G7" s="21">
        <f t="shared" si="1"/>
        <v>0.164126284419334</v>
      </c>
      <c r="H7" s="23"/>
      <c r="I7" s="19">
        <f>SUM(I21:I23,I25:I28)-I24</f>
        <v>32213</v>
      </c>
      <c r="K7" s="31">
        <f t="shared" ref="K7:K28" si="3">D7-C7</f>
        <v>8866</v>
      </c>
      <c r="N7" s="31">
        <f t="shared" si="2"/>
        <v>8866</v>
      </c>
    </row>
    <row r="8" ht="17.25" customHeight="1" spans="1:17">
      <c r="A8" s="13" t="s">
        <v>275</v>
      </c>
      <c r="B8" s="14">
        <f>SUM(B9:B10)</f>
        <v>126400</v>
      </c>
      <c r="C8" s="14">
        <f>SUM(C9:C10)</f>
        <v>84046</v>
      </c>
      <c r="D8" s="14">
        <f>SUM(D9:D10)</f>
        <v>105000</v>
      </c>
      <c r="E8" s="15">
        <f t="shared" si="0"/>
        <v>-21400</v>
      </c>
      <c r="F8" s="14">
        <f>SUM(F9:F10)</f>
        <v>-17700</v>
      </c>
      <c r="G8" s="16">
        <f t="shared" si="1"/>
        <v>-0.144254278728606</v>
      </c>
      <c r="H8" s="24"/>
      <c r="I8" s="14">
        <f>SUM(I9:I10)</f>
        <v>122700</v>
      </c>
      <c r="K8" s="31">
        <f t="shared" si="3"/>
        <v>20954</v>
      </c>
      <c r="N8" s="31">
        <f t="shared" si="2"/>
        <v>20954</v>
      </c>
      <c r="Q8" s="31">
        <f>SUM(C10:C11)</f>
        <v>82666</v>
      </c>
    </row>
    <row r="9" ht="17.25" customHeight="1" spans="1:17">
      <c r="A9" s="18" t="s">
        <v>273</v>
      </c>
      <c r="B9" s="19">
        <f>SUM(B13,B14,B15,B16,B17,B18,B19,B24)</f>
        <v>94500</v>
      </c>
      <c r="C9" s="19">
        <f>SUM(C13,C14,C15,C16,C17,C18,C19,C24)</f>
        <v>55412</v>
      </c>
      <c r="D9" s="19">
        <f>SUM(D13,D14,D15,D16,D17,D18,D19,D24)</f>
        <v>67500</v>
      </c>
      <c r="E9" s="20">
        <f t="shared" si="0"/>
        <v>-27000</v>
      </c>
      <c r="F9" s="20">
        <f>D9-I9</f>
        <v>-22987</v>
      </c>
      <c r="G9" s="21">
        <f t="shared" si="1"/>
        <v>-0.254036491429708</v>
      </c>
      <c r="H9" s="17"/>
      <c r="I9" s="19">
        <f>SUM(I13,I14,I15,I16,I17,I18,I19,I24)</f>
        <v>90487</v>
      </c>
      <c r="K9" s="31">
        <f t="shared" si="3"/>
        <v>12088</v>
      </c>
      <c r="N9" s="31">
        <f t="shared" si="2"/>
        <v>12088</v>
      </c>
      <c r="Q9" s="31">
        <f>SUM(C6:C7)</f>
        <v>130047.5</v>
      </c>
    </row>
    <row r="10" ht="17.25" customHeight="1" spans="1:14">
      <c r="A10" s="18" t="s">
        <v>274</v>
      </c>
      <c r="B10" s="19">
        <f>B7</f>
        <v>31900</v>
      </c>
      <c r="C10" s="19">
        <f>C7</f>
        <v>28634</v>
      </c>
      <c r="D10" s="19">
        <f>D7</f>
        <v>37500</v>
      </c>
      <c r="E10" s="20">
        <f t="shared" si="0"/>
        <v>5600</v>
      </c>
      <c r="F10" s="19">
        <f>F7</f>
        <v>5287</v>
      </c>
      <c r="G10" s="21">
        <f t="shared" si="1"/>
        <v>0.164126284419334</v>
      </c>
      <c r="H10" s="22"/>
      <c r="I10" s="19">
        <f>I7</f>
        <v>32213</v>
      </c>
      <c r="K10" s="31">
        <f t="shared" si="3"/>
        <v>8866</v>
      </c>
      <c r="N10" s="31">
        <f t="shared" si="2"/>
        <v>8866</v>
      </c>
    </row>
    <row r="11" ht="17.25" customHeight="1" spans="1:17">
      <c r="A11" s="13" t="s">
        <v>276</v>
      </c>
      <c r="B11" s="14">
        <f>SUM(B12,B15:B16,B17:B19)</f>
        <v>91900</v>
      </c>
      <c r="C11" s="14">
        <f>SUM(C12,C15:C16,C17:C19)</f>
        <v>54032</v>
      </c>
      <c r="D11" s="14">
        <f>SUM(D12,D15:D16,D17:D19)</f>
        <v>65800</v>
      </c>
      <c r="E11" s="15">
        <f t="shared" si="0"/>
        <v>-26100</v>
      </c>
      <c r="F11" s="14">
        <f>SUM(F12,F15:F16,F17:F19)</f>
        <v>-21991</v>
      </c>
      <c r="G11" s="16">
        <f t="shared" si="1"/>
        <v>-0.250492647310089</v>
      </c>
      <c r="H11" s="22"/>
      <c r="I11" s="14">
        <f>SUM(I12,I15:I16,I17:I19)</f>
        <v>87791</v>
      </c>
      <c r="K11" s="31">
        <f t="shared" si="3"/>
        <v>11768</v>
      </c>
      <c r="N11" s="31">
        <f t="shared" si="2"/>
        <v>11768</v>
      </c>
      <c r="Q11" s="1">
        <f>Q8/Q9</f>
        <v>0.635660047290413</v>
      </c>
    </row>
    <row r="12" ht="17.25" customHeight="1" spans="1:17">
      <c r="A12" s="18" t="s">
        <v>277</v>
      </c>
      <c r="B12" s="19">
        <f>SUM(B13:B14)</f>
        <v>45550</v>
      </c>
      <c r="C12" s="19">
        <f>SUM(C13:C14)</f>
        <v>22360</v>
      </c>
      <c r="D12" s="19">
        <f>SUM(D13:D14)</f>
        <v>28070</v>
      </c>
      <c r="E12" s="20">
        <f t="shared" si="0"/>
        <v>-17480</v>
      </c>
      <c r="F12" s="19">
        <f>SUM(F13:F14)</f>
        <v>-17129</v>
      </c>
      <c r="G12" s="21">
        <f t="shared" si="1"/>
        <v>-0.378968561251355</v>
      </c>
      <c r="H12" s="22"/>
      <c r="I12" s="19">
        <f>SUM(I13:I14)</f>
        <v>45199</v>
      </c>
      <c r="K12" s="31">
        <f t="shared" si="3"/>
        <v>5710</v>
      </c>
      <c r="N12" s="31">
        <f t="shared" si="2"/>
        <v>5710</v>
      </c>
      <c r="Q12" s="1">
        <v>7500</v>
      </c>
    </row>
    <row r="13" ht="17.25" customHeight="1" spans="1:17">
      <c r="A13" s="18" t="s">
        <v>278</v>
      </c>
      <c r="B13" s="19">
        <v>28200</v>
      </c>
      <c r="C13" s="20">
        <v>13920</v>
      </c>
      <c r="D13" s="20">
        <v>17110</v>
      </c>
      <c r="E13" s="20">
        <f t="shared" si="0"/>
        <v>-11090</v>
      </c>
      <c r="F13" s="20">
        <f t="shared" ref="F13:F28" si="4">D13-I13</f>
        <v>-11459</v>
      </c>
      <c r="G13" s="21">
        <f t="shared" si="1"/>
        <v>-0.401099093422941</v>
      </c>
      <c r="H13" s="25"/>
      <c r="I13" s="32">
        <v>28569</v>
      </c>
      <c r="J13" s="33"/>
      <c r="K13" s="31">
        <f t="shared" si="3"/>
        <v>3190</v>
      </c>
      <c r="L13" s="34"/>
      <c r="N13" s="31">
        <f t="shared" si="2"/>
        <v>3190</v>
      </c>
      <c r="Q13" s="1">
        <f>Q11*Q12</f>
        <v>4767.4503546781</v>
      </c>
    </row>
    <row r="14" ht="17.25" customHeight="1" spans="1:12">
      <c r="A14" s="18" t="s">
        <v>279</v>
      </c>
      <c r="B14" s="19">
        <v>17350</v>
      </c>
      <c r="C14" s="20">
        <v>8440</v>
      </c>
      <c r="D14" s="20">
        <v>10960</v>
      </c>
      <c r="E14" s="20">
        <f t="shared" si="0"/>
        <v>-6390</v>
      </c>
      <c r="F14" s="20">
        <f t="shared" si="4"/>
        <v>-5670</v>
      </c>
      <c r="G14" s="21">
        <f t="shared" si="1"/>
        <v>-0.340950090198437</v>
      </c>
      <c r="H14" s="25"/>
      <c r="I14" s="32">
        <v>16630</v>
      </c>
      <c r="J14" s="34"/>
      <c r="K14" s="31">
        <f t="shared" si="3"/>
        <v>2520</v>
      </c>
      <c r="L14" s="35"/>
    </row>
    <row r="15" ht="17.25" customHeight="1" spans="1:14">
      <c r="A15" s="18" t="s">
        <v>280</v>
      </c>
      <c r="B15" s="19">
        <v>0</v>
      </c>
      <c r="C15" s="20"/>
      <c r="D15" s="20"/>
      <c r="E15" s="20">
        <f t="shared" si="0"/>
        <v>0</v>
      </c>
      <c r="F15" s="20">
        <f t="shared" si="4"/>
        <v>0</v>
      </c>
      <c r="G15" s="21" t="e">
        <f t="shared" si="1"/>
        <v>#DIV/0!</v>
      </c>
      <c r="H15" s="25"/>
      <c r="I15" s="36"/>
      <c r="J15" s="34"/>
      <c r="K15" s="31">
        <f t="shared" si="3"/>
        <v>0</v>
      </c>
      <c r="L15" s="34"/>
      <c r="N15" s="31">
        <f>D15-C15</f>
        <v>0</v>
      </c>
    </row>
    <row r="16" ht="17.25" customHeight="1" spans="1:12">
      <c r="A16" s="18" t="s">
        <v>281</v>
      </c>
      <c r="B16" s="19">
        <v>11450</v>
      </c>
      <c r="C16" s="20">
        <v>9119</v>
      </c>
      <c r="D16" s="20">
        <v>9400</v>
      </c>
      <c r="E16" s="20">
        <f t="shared" si="0"/>
        <v>-2050</v>
      </c>
      <c r="F16" s="20">
        <f t="shared" si="4"/>
        <v>-1806</v>
      </c>
      <c r="G16" s="21">
        <f t="shared" si="1"/>
        <v>-0.161163662323755</v>
      </c>
      <c r="H16" s="25"/>
      <c r="I16" s="36">
        <v>11206</v>
      </c>
      <c r="J16" s="34"/>
      <c r="K16" s="31">
        <f t="shared" si="3"/>
        <v>281</v>
      </c>
      <c r="L16" s="34"/>
    </row>
    <row r="17" ht="17.25" customHeight="1" spans="1:14">
      <c r="A17" s="18" t="s">
        <v>282</v>
      </c>
      <c r="B17" s="19">
        <v>2000</v>
      </c>
      <c r="C17" s="20">
        <v>2986</v>
      </c>
      <c r="D17" s="20">
        <v>4140</v>
      </c>
      <c r="E17" s="20">
        <f t="shared" si="0"/>
        <v>2140</v>
      </c>
      <c r="F17" s="20">
        <f t="shared" si="4"/>
        <v>1988</v>
      </c>
      <c r="G17" s="21">
        <f t="shared" si="1"/>
        <v>0.923791821561338</v>
      </c>
      <c r="H17" s="25"/>
      <c r="I17" s="37">
        <v>2152</v>
      </c>
      <c r="J17" s="34"/>
      <c r="K17" s="31">
        <f t="shared" si="3"/>
        <v>1154</v>
      </c>
      <c r="L17" s="34"/>
      <c r="N17" s="31">
        <f>D17-C17</f>
        <v>1154</v>
      </c>
    </row>
    <row r="18" ht="17.25" customHeight="1" spans="1:14">
      <c r="A18" s="18" t="s">
        <v>283</v>
      </c>
      <c r="B18" s="19">
        <v>24600</v>
      </c>
      <c r="C18" s="20">
        <v>15424</v>
      </c>
      <c r="D18" s="20">
        <v>19050</v>
      </c>
      <c r="E18" s="20">
        <f t="shared" si="0"/>
        <v>-5550</v>
      </c>
      <c r="F18" s="20">
        <f t="shared" si="4"/>
        <v>-2298</v>
      </c>
      <c r="G18" s="21">
        <f t="shared" si="1"/>
        <v>-0.107644744238336</v>
      </c>
      <c r="H18" s="25"/>
      <c r="I18" s="37">
        <v>21348</v>
      </c>
      <c r="J18" s="34"/>
      <c r="K18" s="31">
        <f t="shared" si="3"/>
        <v>3626</v>
      </c>
      <c r="L18" s="34"/>
      <c r="N18" s="31">
        <f>D18-C18</f>
        <v>3626</v>
      </c>
    </row>
    <row r="19" ht="17.25" customHeight="1" spans="1:14">
      <c r="A19" s="18" t="s">
        <v>284</v>
      </c>
      <c r="B19" s="19">
        <v>8300</v>
      </c>
      <c r="C19" s="20">
        <v>4143</v>
      </c>
      <c r="D19" s="20">
        <v>5140</v>
      </c>
      <c r="E19" s="20">
        <f t="shared" si="0"/>
        <v>-3160</v>
      </c>
      <c r="F19" s="20">
        <f t="shared" si="4"/>
        <v>-2746</v>
      </c>
      <c r="G19" s="21">
        <f t="shared" si="1"/>
        <v>-0.348212021303576</v>
      </c>
      <c r="H19" s="25"/>
      <c r="I19" s="37">
        <v>7886</v>
      </c>
      <c r="J19" s="38"/>
      <c r="K19" s="31">
        <f t="shared" si="3"/>
        <v>997</v>
      </c>
      <c r="L19" s="38"/>
      <c r="N19" s="31">
        <f>D19-C19</f>
        <v>997</v>
      </c>
    </row>
    <row r="20" ht="17.25" customHeight="1" spans="1:14">
      <c r="A20" s="13" t="s">
        <v>285</v>
      </c>
      <c r="B20" s="14">
        <f>SUM(B21:B23,B25:B26,B27:B28)</f>
        <v>34500</v>
      </c>
      <c r="C20" s="14">
        <f>SUM(C21:C23,C25:C26,C27:C28)</f>
        <v>30014</v>
      </c>
      <c r="D20" s="14">
        <f>SUM(D21:D23,D25:D26,D27:D28)</f>
        <v>39200</v>
      </c>
      <c r="E20" s="15">
        <f t="shared" si="0"/>
        <v>4700</v>
      </c>
      <c r="F20" s="14">
        <f>SUM(F21:F23,F25:F26,F27:F28)</f>
        <v>4291</v>
      </c>
      <c r="G20" s="16">
        <f t="shared" si="1"/>
        <v>0.122919590936435</v>
      </c>
      <c r="H20" s="25"/>
      <c r="I20" s="14">
        <f>SUM(I21:I23,I25:I26,I27:I28)</f>
        <v>34909</v>
      </c>
      <c r="K20" s="31">
        <f t="shared" si="3"/>
        <v>9186</v>
      </c>
      <c r="N20" s="31">
        <f>D20-C20</f>
        <v>9186</v>
      </c>
    </row>
    <row r="21" ht="17.25" customHeight="1" spans="1:14">
      <c r="A21" s="18" t="s">
        <v>286</v>
      </c>
      <c r="B21" s="19">
        <v>1200</v>
      </c>
      <c r="C21" s="20">
        <v>869</v>
      </c>
      <c r="D21" s="20">
        <v>2700</v>
      </c>
      <c r="E21" s="20">
        <f t="shared" si="0"/>
        <v>1500</v>
      </c>
      <c r="F21" s="20">
        <f t="shared" si="4"/>
        <v>1566</v>
      </c>
      <c r="G21" s="21">
        <f t="shared" si="1"/>
        <v>1.38095238095238</v>
      </c>
      <c r="H21" s="25"/>
      <c r="I21" s="37">
        <v>1134</v>
      </c>
      <c r="K21" s="31">
        <f t="shared" si="3"/>
        <v>1831</v>
      </c>
      <c r="N21" s="31">
        <f>D21-C21</f>
        <v>1831</v>
      </c>
    </row>
    <row r="22" ht="17.25" customHeight="1" spans="1:14">
      <c r="A22" s="18" t="s">
        <v>287</v>
      </c>
      <c r="B22" s="19">
        <v>3000</v>
      </c>
      <c r="C22" s="20">
        <v>1972</v>
      </c>
      <c r="D22" s="20">
        <v>2300</v>
      </c>
      <c r="E22" s="20">
        <f t="shared" si="0"/>
        <v>-700</v>
      </c>
      <c r="F22" s="20">
        <f t="shared" si="4"/>
        <v>-1356</v>
      </c>
      <c r="G22" s="21">
        <f t="shared" si="1"/>
        <v>-0.37089715536105</v>
      </c>
      <c r="H22" s="25"/>
      <c r="I22" s="39">
        <v>3656</v>
      </c>
      <c r="K22" s="31">
        <f t="shared" si="3"/>
        <v>328</v>
      </c>
      <c r="N22" s="31">
        <f t="shared" ref="N22:N32" si="5">D22-C22</f>
        <v>328</v>
      </c>
    </row>
    <row r="23" ht="17.25" customHeight="1" spans="1:14">
      <c r="A23" s="26" t="s">
        <v>288</v>
      </c>
      <c r="B23" s="19">
        <v>8500</v>
      </c>
      <c r="C23" s="20">
        <v>3802</v>
      </c>
      <c r="D23" s="20">
        <v>8500</v>
      </c>
      <c r="E23" s="20">
        <f t="shared" si="0"/>
        <v>0</v>
      </c>
      <c r="F23" s="20">
        <f t="shared" si="4"/>
        <v>117</v>
      </c>
      <c r="G23" s="21">
        <f t="shared" si="1"/>
        <v>0.0139568173684839</v>
      </c>
      <c r="H23" s="25"/>
      <c r="I23" s="36">
        <v>8383</v>
      </c>
      <c r="K23" s="31">
        <f t="shared" si="3"/>
        <v>4698</v>
      </c>
      <c r="N23" s="31">
        <f t="shared" si="5"/>
        <v>4698</v>
      </c>
    </row>
    <row r="24" ht="17.25" customHeight="1" spans="1:14">
      <c r="A24" s="26" t="s">
        <v>289</v>
      </c>
      <c r="B24" s="19">
        <v>2600</v>
      </c>
      <c r="C24" s="20">
        <v>1380</v>
      </c>
      <c r="D24" s="20">
        <v>1700</v>
      </c>
      <c r="E24" s="20">
        <f t="shared" si="0"/>
        <v>-900</v>
      </c>
      <c r="F24" s="20">
        <f t="shared" si="4"/>
        <v>-996</v>
      </c>
      <c r="G24" s="21">
        <f t="shared" si="1"/>
        <v>-0.369436201780415</v>
      </c>
      <c r="H24" s="25"/>
      <c r="I24" s="36">
        <v>2696</v>
      </c>
      <c r="K24" s="31">
        <f t="shared" si="3"/>
        <v>320</v>
      </c>
      <c r="N24" s="31">
        <f t="shared" si="5"/>
        <v>320</v>
      </c>
    </row>
    <row r="25" ht="17.25" customHeight="1" spans="1:14">
      <c r="A25" s="26" t="s">
        <v>290</v>
      </c>
      <c r="B25" s="19">
        <v>5400</v>
      </c>
      <c r="C25" s="20"/>
      <c r="D25" s="20"/>
      <c r="E25" s="20">
        <f t="shared" si="0"/>
        <v>-5400</v>
      </c>
      <c r="F25" s="20">
        <f t="shared" si="4"/>
        <v>-5400</v>
      </c>
      <c r="G25" s="21">
        <f t="shared" si="1"/>
        <v>-1</v>
      </c>
      <c r="H25" s="25"/>
      <c r="I25" s="36">
        <v>5400</v>
      </c>
      <c r="K25" s="31">
        <f t="shared" si="3"/>
        <v>0</v>
      </c>
      <c r="N25" s="31">
        <f t="shared" si="5"/>
        <v>0</v>
      </c>
    </row>
    <row r="26" ht="17.25" customHeight="1" spans="1:14">
      <c r="A26" s="26" t="s">
        <v>291</v>
      </c>
      <c r="B26" s="19">
        <v>1400</v>
      </c>
      <c r="C26" s="20">
        <v>987</v>
      </c>
      <c r="D26" s="20">
        <v>1400</v>
      </c>
      <c r="E26" s="20">
        <f t="shared" si="0"/>
        <v>0</v>
      </c>
      <c r="F26" s="20">
        <f t="shared" si="4"/>
        <v>-59</v>
      </c>
      <c r="G26" s="21">
        <f t="shared" si="1"/>
        <v>-0.0404386566141193</v>
      </c>
      <c r="H26" s="25"/>
      <c r="I26" s="36">
        <v>1459</v>
      </c>
      <c r="K26" s="31">
        <f t="shared" si="3"/>
        <v>413</v>
      </c>
      <c r="N26" s="31">
        <f t="shared" si="5"/>
        <v>413</v>
      </c>
    </row>
    <row r="27" ht="17.25" customHeight="1" spans="1:14">
      <c r="A27" s="26" t="s">
        <v>292</v>
      </c>
      <c r="B27" s="19">
        <v>55</v>
      </c>
      <c r="C27" s="20"/>
      <c r="D27" s="20">
        <v>55</v>
      </c>
      <c r="E27" s="20">
        <f t="shared" si="0"/>
        <v>0</v>
      </c>
      <c r="F27" s="20">
        <f t="shared" si="4"/>
        <v>5</v>
      </c>
      <c r="G27" s="21">
        <f t="shared" si="1"/>
        <v>0.1</v>
      </c>
      <c r="H27" s="25"/>
      <c r="I27" s="36">
        <v>50</v>
      </c>
      <c r="K27" s="31">
        <f t="shared" si="3"/>
        <v>55</v>
      </c>
      <c r="N27" s="31">
        <f t="shared" si="5"/>
        <v>55</v>
      </c>
    </row>
    <row r="28" ht="17.25" customHeight="1" spans="1:14">
      <c r="A28" s="26" t="s">
        <v>294</v>
      </c>
      <c r="B28" s="19">
        <v>14945</v>
      </c>
      <c r="C28" s="20">
        <v>22384</v>
      </c>
      <c r="D28" s="20">
        <v>24245</v>
      </c>
      <c r="E28" s="20">
        <f t="shared" si="0"/>
        <v>9300</v>
      </c>
      <c r="F28" s="20">
        <f t="shared" si="4"/>
        <v>9418</v>
      </c>
      <c r="G28" s="21">
        <f t="shared" si="1"/>
        <v>0.635192554124233</v>
      </c>
      <c r="H28" s="25"/>
      <c r="I28" s="36">
        <v>14827</v>
      </c>
      <c r="K28" s="31">
        <f t="shared" si="3"/>
        <v>1861</v>
      </c>
      <c r="N28" s="31">
        <f t="shared" si="5"/>
        <v>1861</v>
      </c>
    </row>
    <row r="29" ht="17.25" customHeight="1" spans="1:14">
      <c r="A29" s="13" t="s">
        <v>295</v>
      </c>
      <c r="B29" s="14">
        <f>SUM(B30,B31,B32:B34,B35)</f>
        <v>72000</v>
      </c>
      <c r="C29" s="14">
        <f>SUM(C30,C31,C32:C34,C35)</f>
        <v>46001.5</v>
      </c>
      <c r="D29" s="14">
        <f>SUM(D30,D31,D32:D34,D35)</f>
        <v>55000</v>
      </c>
      <c r="E29" s="15">
        <f t="shared" si="0"/>
        <v>-17000</v>
      </c>
      <c r="F29" s="14">
        <f>SUM(F30,F31,F32:F34,F35)</f>
        <v>-16269</v>
      </c>
      <c r="G29" s="16">
        <f t="shared" si="1"/>
        <v>-0.228275968513659</v>
      </c>
      <c r="H29" s="25"/>
      <c r="I29" s="14">
        <f>SUM(I30,I31,I32:I34,I35)</f>
        <v>71269</v>
      </c>
      <c r="N29" s="31">
        <f t="shared" si="5"/>
        <v>8998.5</v>
      </c>
    </row>
    <row r="30" ht="17.25" customHeight="1" spans="1:14">
      <c r="A30" s="18" t="s">
        <v>296</v>
      </c>
      <c r="B30" s="19">
        <f t="shared" ref="B30:D31" si="6">B13</f>
        <v>28200</v>
      </c>
      <c r="C30" s="19">
        <f t="shared" si="6"/>
        <v>13920</v>
      </c>
      <c r="D30" s="19">
        <f t="shared" si="6"/>
        <v>17110</v>
      </c>
      <c r="E30" s="20">
        <f t="shared" si="0"/>
        <v>-11090</v>
      </c>
      <c r="F30" s="20">
        <f>D30-I30</f>
        <v>-11459</v>
      </c>
      <c r="G30" s="21">
        <f t="shared" si="1"/>
        <v>-0.401099093422941</v>
      </c>
      <c r="H30" s="25"/>
      <c r="I30" s="19">
        <f>I13</f>
        <v>28569</v>
      </c>
      <c r="N30" s="31">
        <f t="shared" si="5"/>
        <v>3190</v>
      </c>
    </row>
    <row r="31" ht="17.25" customHeight="1" spans="1:14">
      <c r="A31" s="18" t="s">
        <v>297</v>
      </c>
      <c r="B31" s="19">
        <f t="shared" si="6"/>
        <v>17350</v>
      </c>
      <c r="C31" s="19">
        <f t="shared" si="6"/>
        <v>8440</v>
      </c>
      <c r="D31" s="19">
        <f t="shared" si="6"/>
        <v>10960</v>
      </c>
      <c r="E31" s="20">
        <f t="shared" si="0"/>
        <v>-6390</v>
      </c>
      <c r="F31" s="20">
        <f>D31-I31</f>
        <v>-5670</v>
      </c>
      <c r="G31" s="21">
        <f t="shared" si="1"/>
        <v>-0.340950090198437</v>
      </c>
      <c r="H31" s="25"/>
      <c r="I31" s="19">
        <f>I14+I15</f>
        <v>16630</v>
      </c>
      <c r="N31" s="31">
        <f t="shared" si="5"/>
        <v>2520</v>
      </c>
    </row>
    <row r="32" ht="17.25" customHeight="1" spans="1:14">
      <c r="A32" s="18" t="s">
        <v>298</v>
      </c>
      <c r="B32" s="19">
        <v>70</v>
      </c>
      <c r="C32" s="19">
        <v>84</v>
      </c>
      <c r="D32" s="19">
        <v>100</v>
      </c>
      <c r="E32" s="20">
        <f t="shared" si="0"/>
        <v>30</v>
      </c>
      <c r="F32" s="20">
        <f>D32-I32</f>
        <v>38</v>
      </c>
      <c r="G32" s="21">
        <f t="shared" si="1"/>
        <v>0.612903225806452</v>
      </c>
      <c r="H32" s="25"/>
      <c r="I32" s="19">
        <v>62</v>
      </c>
      <c r="K32" s="31">
        <f>D32-C32</f>
        <v>16</v>
      </c>
      <c r="N32" s="31">
        <f t="shared" si="5"/>
        <v>16</v>
      </c>
    </row>
    <row r="33" ht="17.25" customHeight="1" spans="1:11">
      <c r="A33" s="18" t="s">
        <v>299</v>
      </c>
      <c r="B33" s="19">
        <v>6205</v>
      </c>
      <c r="C33" s="19">
        <v>5400</v>
      </c>
      <c r="D33" s="19">
        <v>6520</v>
      </c>
      <c r="E33" s="20">
        <f t="shared" si="0"/>
        <v>315</v>
      </c>
      <c r="F33" s="20">
        <f>D33-I33</f>
        <v>549</v>
      </c>
      <c r="G33" s="21">
        <f t="shared" si="1"/>
        <v>0.0919443979232959</v>
      </c>
      <c r="H33" s="25"/>
      <c r="I33" s="19">
        <v>5971</v>
      </c>
      <c r="K33" s="31">
        <f>D33-C33</f>
        <v>1120</v>
      </c>
    </row>
    <row r="34" ht="17.25" customHeight="1" spans="1:9">
      <c r="A34" s="18" t="s">
        <v>300</v>
      </c>
      <c r="B34" s="19">
        <f t="shared" ref="B34:D35" si="7">B16*1.5</f>
        <v>17175</v>
      </c>
      <c r="C34" s="19">
        <f t="shared" si="7"/>
        <v>13678.5</v>
      </c>
      <c r="D34" s="19">
        <f t="shared" si="7"/>
        <v>14100</v>
      </c>
      <c r="E34" s="20">
        <f t="shared" si="0"/>
        <v>-3075</v>
      </c>
      <c r="F34" s="19">
        <f>F16*1.5</f>
        <v>-2709</v>
      </c>
      <c r="G34" s="21">
        <f t="shared" si="1"/>
        <v>-0.161163662323755</v>
      </c>
      <c r="H34" s="27"/>
      <c r="I34" s="19">
        <f>I16*1.5</f>
        <v>16809</v>
      </c>
    </row>
    <row r="35" ht="17.25" customHeight="1" spans="1:9">
      <c r="A35" s="18" t="s">
        <v>301</v>
      </c>
      <c r="B35" s="19">
        <f t="shared" si="7"/>
        <v>3000</v>
      </c>
      <c r="C35" s="19">
        <f t="shared" si="7"/>
        <v>4479</v>
      </c>
      <c r="D35" s="19">
        <f t="shared" si="7"/>
        <v>6210</v>
      </c>
      <c r="E35" s="20">
        <f>SUM(E36:E37)</f>
        <v>-16500</v>
      </c>
      <c r="F35" s="19">
        <f>F17*1.5</f>
        <v>2982</v>
      </c>
      <c r="G35" s="21">
        <f t="shared" si="1"/>
        <v>0.923791821561338</v>
      </c>
      <c r="H35" s="27"/>
      <c r="I35" s="19">
        <f>I17*1.5</f>
        <v>3228</v>
      </c>
    </row>
    <row r="36" ht="17.25" customHeight="1" spans="1:11">
      <c r="A36" s="13" t="s">
        <v>302</v>
      </c>
      <c r="B36" s="14">
        <f>SUM(B37:B42)</f>
        <v>141500</v>
      </c>
      <c r="C36" s="14">
        <f>SUM(C37:C42)</f>
        <v>34811</v>
      </c>
      <c r="D36" s="14">
        <f>SUM(D37:D42)</f>
        <v>125000</v>
      </c>
      <c r="E36" s="15">
        <f>SUM(E37:E42)</f>
        <v>-16500</v>
      </c>
      <c r="F36" s="14">
        <f>SUM(F37:F42)</f>
        <v>-27518</v>
      </c>
      <c r="G36" s="16">
        <f t="shared" si="1"/>
        <v>-0.18042460562032</v>
      </c>
      <c r="H36" s="27"/>
      <c r="I36" s="14">
        <f>SUM(I37:I42)</f>
        <v>152518</v>
      </c>
      <c r="K36" s="31">
        <f>D36-I36</f>
        <v>-27518</v>
      </c>
    </row>
    <row r="37" ht="17.25" customHeight="1" spans="1:9">
      <c r="A37" s="28" t="s">
        <v>312</v>
      </c>
      <c r="B37" s="29"/>
      <c r="C37" s="20"/>
      <c r="D37" s="20"/>
      <c r="E37" s="20">
        <f t="shared" si="0"/>
        <v>0</v>
      </c>
      <c r="F37" s="20">
        <f t="shared" ref="F37:F42" si="8">D37-I37</f>
        <v>0</v>
      </c>
      <c r="G37" s="21" t="e">
        <f t="shared" si="1"/>
        <v>#DIV/0!</v>
      </c>
      <c r="H37" s="27"/>
      <c r="I37" s="20"/>
    </row>
    <row r="38" ht="17.25" customHeight="1" spans="1:9">
      <c r="A38" s="28" t="s">
        <v>304</v>
      </c>
      <c r="B38" s="29">
        <v>138050</v>
      </c>
      <c r="C38" s="20">
        <v>31932</v>
      </c>
      <c r="D38" s="20">
        <v>121558</v>
      </c>
      <c r="E38" s="20">
        <f t="shared" si="0"/>
        <v>-16492</v>
      </c>
      <c r="F38" s="20">
        <f t="shared" si="8"/>
        <v>-28576</v>
      </c>
      <c r="G38" s="21">
        <f t="shared" si="1"/>
        <v>-0.190336632608203</v>
      </c>
      <c r="H38" s="27"/>
      <c r="I38" s="36">
        <v>150134</v>
      </c>
    </row>
    <row r="39" ht="17.25" customHeight="1" spans="1:9">
      <c r="A39" s="28" t="s">
        <v>305</v>
      </c>
      <c r="B39" s="29">
        <v>2200</v>
      </c>
      <c r="C39" s="20">
        <v>1729</v>
      </c>
      <c r="D39" s="20">
        <v>2200</v>
      </c>
      <c r="E39" s="20">
        <f t="shared" si="0"/>
        <v>0</v>
      </c>
      <c r="F39" s="20">
        <f t="shared" si="8"/>
        <v>1051</v>
      </c>
      <c r="G39" s="21">
        <f t="shared" si="1"/>
        <v>0.914708442123586</v>
      </c>
      <c r="H39" s="27"/>
      <c r="I39" s="36">
        <v>1149</v>
      </c>
    </row>
    <row r="40" ht="17.25" customHeight="1" spans="1:9">
      <c r="A40" s="28" t="s">
        <v>306</v>
      </c>
      <c r="B40" s="29">
        <v>700</v>
      </c>
      <c r="C40" s="20">
        <v>817</v>
      </c>
      <c r="D40" s="20">
        <v>817</v>
      </c>
      <c r="E40" s="20">
        <f t="shared" si="0"/>
        <v>117</v>
      </c>
      <c r="F40" s="20">
        <f t="shared" si="8"/>
        <v>119</v>
      </c>
      <c r="G40" s="21">
        <f t="shared" si="1"/>
        <v>0.170487106017192</v>
      </c>
      <c r="H40" s="27"/>
      <c r="I40" s="40">
        <v>698</v>
      </c>
    </row>
    <row r="41" ht="17.25" customHeight="1" spans="1:9">
      <c r="A41" s="28" t="s">
        <v>307</v>
      </c>
      <c r="B41" s="29">
        <v>250</v>
      </c>
      <c r="C41" s="20">
        <v>98</v>
      </c>
      <c r="D41" s="20">
        <v>125</v>
      </c>
      <c r="E41" s="20">
        <f t="shared" si="0"/>
        <v>-125</v>
      </c>
      <c r="F41" s="20">
        <f t="shared" si="8"/>
        <v>-115</v>
      </c>
      <c r="G41" s="21">
        <f t="shared" si="1"/>
        <v>-0.479166666666667</v>
      </c>
      <c r="H41" s="27"/>
      <c r="I41" s="20">
        <v>240</v>
      </c>
    </row>
    <row r="42" ht="17.25" customHeight="1" spans="1:9">
      <c r="A42" s="28" t="s">
        <v>308</v>
      </c>
      <c r="B42" s="29">
        <v>300</v>
      </c>
      <c r="C42" s="20">
        <v>235</v>
      </c>
      <c r="D42" s="20">
        <v>300</v>
      </c>
      <c r="E42" s="20">
        <f t="shared" si="0"/>
        <v>0</v>
      </c>
      <c r="F42" s="20">
        <f t="shared" si="8"/>
        <v>3</v>
      </c>
      <c r="G42" s="21">
        <f t="shared" si="1"/>
        <v>0.0101010101010102</v>
      </c>
      <c r="H42" s="27"/>
      <c r="I42" s="20">
        <v>297</v>
      </c>
    </row>
    <row r="43" spans="4:9">
      <c r="D43" s="30"/>
      <c r="E43" s="30"/>
      <c r="F43" s="30"/>
      <c r="I43" s="30"/>
    </row>
    <row r="44" spans="4:9">
      <c r="D44" s="3">
        <f>(D22+1500)/D9</f>
        <v>0.0562962962962963</v>
      </c>
      <c r="I44" s="3">
        <f>I22/I9</f>
        <v>0.0404035938864146</v>
      </c>
    </row>
  </sheetData>
  <mergeCells count="5">
    <mergeCell ref="A1:G1"/>
    <mergeCell ref="D3:G3"/>
    <mergeCell ref="A3:A4"/>
    <mergeCell ref="B3:B4"/>
    <mergeCell ref="C3:C4"/>
  </mergeCells>
  <pageMargins left="0.747916666666667" right="0" top="0.590277777777778" bottom="0.393055555555556" header="0.511805555555556" footer="0.511805555555556"/>
  <pageSetup paperSize="9" scale="9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Q44"/>
  <sheetViews>
    <sheetView workbookViewId="0">
      <selection activeCell="D33" sqref="D33"/>
    </sheetView>
  </sheetViews>
  <sheetFormatPr defaultColWidth="9" defaultRowHeight="12.75"/>
  <cols>
    <col min="1" max="1" width="27.875" style="1" customWidth="1"/>
    <col min="2" max="2" width="8.875" style="2" customWidth="1"/>
    <col min="3" max="3" width="9.25" style="1" customWidth="1"/>
    <col min="4" max="4" width="9.25" style="3" customWidth="1"/>
    <col min="5" max="6" width="8.875" style="3" customWidth="1"/>
    <col min="7" max="7" width="8.875" style="1" customWidth="1"/>
    <col min="8" max="8" width="2.375" style="1" customWidth="1"/>
    <col min="9" max="9" width="9.5" style="3" customWidth="1"/>
    <col min="10" max="16384" width="9" style="1"/>
  </cols>
  <sheetData>
    <row r="1" ht="21.75" customHeight="1" spans="1:8">
      <c r="A1" s="4" t="s">
        <v>311</v>
      </c>
      <c r="B1" s="4"/>
      <c r="C1" s="4"/>
      <c r="D1" s="4"/>
      <c r="E1" s="4"/>
      <c r="F1" s="4"/>
      <c r="G1" s="4"/>
      <c r="H1" s="4"/>
    </row>
    <row r="2" ht="15.75" customHeight="1" spans="1:7">
      <c r="A2" s="2" t="s">
        <v>1</v>
      </c>
      <c r="G2" s="2" t="s">
        <v>119</v>
      </c>
    </row>
    <row r="3" ht="14.25" customHeight="1" spans="1:8">
      <c r="A3" s="5" t="s">
        <v>263</v>
      </c>
      <c r="B3" s="6" t="s">
        <v>264</v>
      </c>
      <c r="C3" s="6" t="s">
        <v>309</v>
      </c>
      <c r="D3" s="7" t="s">
        <v>267</v>
      </c>
      <c r="E3" s="7"/>
      <c r="F3" s="7"/>
      <c r="G3" s="7"/>
      <c r="H3" s="8"/>
    </row>
    <row r="4" ht="14.25" customHeight="1" spans="1:13">
      <c r="A4" s="9"/>
      <c r="B4" s="10"/>
      <c r="C4" s="10"/>
      <c r="D4" s="11" t="s">
        <v>17</v>
      </c>
      <c r="E4" s="11" t="s">
        <v>270</v>
      </c>
      <c r="F4" s="11" t="s">
        <v>310</v>
      </c>
      <c r="G4" s="11" t="s">
        <v>271</v>
      </c>
      <c r="H4" s="12"/>
      <c r="M4" s="1">
        <f>K9/K6</f>
        <v>0.533173261300919</v>
      </c>
    </row>
    <row r="5" ht="17.25" customHeight="1" spans="1:11">
      <c r="A5" s="13" t="s">
        <v>272</v>
      </c>
      <c r="B5" s="14">
        <f>SUM(B6:B7)</f>
        <v>198400</v>
      </c>
      <c r="C5" s="14">
        <f>SUM(C6:C7)</f>
        <v>130047.5</v>
      </c>
      <c r="D5" s="14">
        <f>SUM(D6:D7)</f>
        <v>168000</v>
      </c>
      <c r="E5" s="15">
        <f t="shared" ref="E5:E42" si="0">D5-B5</f>
        <v>-30400</v>
      </c>
      <c r="F5" s="14">
        <f>SUM(F6:F7)</f>
        <v>-25969</v>
      </c>
      <c r="G5" s="16">
        <f t="shared" ref="G5:G42" si="1">D5/I5-1</f>
        <v>-0.133882218292614</v>
      </c>
      <c r="H5" s="17"/>
      <c r="I5" s="14">
        <f>SUM(I6:I7)</f>
        <v>193969</v>
      </c>
      <c r="K5" s="31">
        <f>D5-C5</f>
        <v>37952.5</v>
      </c>
    </row>
    <row r="6" ht="17.25" customHeight="1" spans="1:14">
      <c r="A6" s="18" t="s">
        <v>273</v>
      </c>
      <c r="B6" s="19">
        <f>SUM(B9,B29)</f>
        <v>166500</v>
      </c>
      <c r="C6" s="19">
        <f>SUM(C9,C29)</f>
        <v>101413.5</v>
      </c>
      <c r="D6" s="19">
        <f>SUM(D9,D29)</f>
        <v>131400</v>
      </c>
      <c r="E6" s="20">
        <f t="shared" si="0"/>
        <v>-35100</v>
      </c>
      <c r="F6" s="19">
        <f>SUM(F9,F29)</f>
        <v>-30356</v>
      </c>
      <c r="G6" s="21">
        <f t="shared" si="1"/>
        <v>-0.187665372536413</v>
      </c>
      <c r="H6" s="22"/>
      <c r="I6" s="19">
        <f>SUM(I9,I29)</f>
        <v>161756</v>
      </c>
      <c r="K6" s="31">
        <f>D6-C6</f>
        <v>29986.5</v>
      </c>
      <c r="N6" s="31">
        <f t="shared" ref="N6:N13" si="2">D6-C6</f>
        <v>29986.5</v>
      </c>
    </row>
    <row r="7" ht="17.25" customHeight="1" spans="1:14">
      <c r="A7" s="18" t="s">
        <v>274</v>
      </c>
      <c r="B7" s="19">
        <f>SUM(B21:B23,B25:B28)-B24</f>
        <v>31900</v>
      </c>
      <c r="C7" s="19">
        <f>SUM(C21:C23,C25:C28)-C24</f>
        <v>28634</v>
      </c>
      <c r="D7" s="19">
        <f>SUM(D21:D23,D25:D28)-D24</f>
        <v>36600</v>
      </c>
      <c r="E7" s="20">
        <f t="shared" si="0"/>
        <v>4700</v>
      </c>
      <c r="F7" s="19">
        <f>SUM(F21:F23,F25:F28)-F24</f>
        <v>4387</v>
      </c>
      <c r="G7" s="21">
        <f t="shared" si="1"/>
        <v>0.13618725359327</v>
      </c>
      <c r="H7" s="23"/>
      <c r="I7" s="19">
        <f>SUM(I21:I23,I25:I28)-I24</f>
        <v>32213</v>
      </c>
      <c r="K7" s="31">
        <f t="shared" ref="K7:K28" si="3">D7-C7</f>
        <v>7966</v>
      </c>
      <c r="N7" s="31">
        <f t="shared" si="2"/>
        <v>7966</v>
      </c>
    </row>
    <row r="8" ht="17.25" customHeight="1" spans="1:17">
      <c r="A8" s="13" t="s">
        <v>275</v>
      </c>
      <c r="B8" s="14">
        <f>SUM(B9:B10)</f>
        <v>126400</v>
      </c>
      <c r="C8" s="14">
        <f>SUM(C9:C10)</f>
        <v>84046</v>
      </c>
      <c r="D8" s="14">
        <f>SUM(D9:D10)</f>
        <v>108000</v>
      </c>
      <c r="E8" s="15">
        <f t="shared" si="0"/>
        <v>-18400</v>
      </c>
      <c r="F8" s="14">
        <f>SUM(F9:F10)</f>
        <v>-14700</v>
      </c>
      <c r="G8" s="16">
        <f t="shared" si="1"/>
        <v>-0.119804400977995</v>
      </c>
      <c r="H8" s="24"/>
      <c r="I8" s="14">
        <f>SUM(I9:I10)</f>
        <v>122700</v>
      </c>
      <c r="K8" s="31">
        <f t="shared" si="3"/>
        <v>23954</v>
      </c>
      <c r="N8" s="31">
        <f t="shared" si="2"/>
        <v>23954</v>
      </c>
      <c r="Q8" s="31">
        <f>SUM(C10:C11)</f>
        <v>82666</v>
      </c>
    </row>
    <row r="9" ht="17.25" customHeight="1" spans="1:17">
      <c r="A9" s="18" t="s">
        <v>273</v>
      </c>
      <c r="B9" s="19">
        <f>SUM(B13,B14,B15,B16,B17,B18,B19,B24)</f>
        <v>94500</v>
      </c>
      <c r="C9" s="19">
        <f>SUM(C13,C14,C15,C16,C17,C18,C19,C24)</f>
        <v>55412</v>
      </c>
      <c r="D9" s="19">
        <f>SUM(D13,D14,D15,D16,D17,D18,D19,D24)</f>
        <v>71400</v>
      </c>
      <c r="E9" s="20">
        <f t="shared" si="0"/>
        <v>-23100</v>
      </c>
      <c r="F9" s="20">
        <f>D9-I9</f>
        <v>-19087</v>
      </c>
      <c r="G9" s="21">
        <f t="shared" si="1"/>
        <v>-0.210936377601202</v>
      </c>
      <c r="H9" s="17"/>
      <c r="I9" s="19">
        <f>SUM(I13,I14,I15,I16,I17,I18,I19,I24)</f>
        <v>90487</v>
      </c>
      <c r="K9" s="31">
        <f t="shared" si="3"/>
        <v>15988</v>
      </c>
      <c r="N9" s="31">
        <f t="shared" si="2"/>
        <v>15988</v>
      </c>
      <c r="Q9" s="31">
        <f>SUM(C6:C7)</f>
        <v>130047.5</v>
      </c>
    </row>
    <row r="10" ht="17.25" customHeight="1" spans="1:14">
      <c r="A10" s="18" t="s">
        <v>274</v>
      </c>
      <c r="B10" s="19">
        <f>B7</f>
        <v>31900</v>
      </c>
      <c r="C10" s="19">
        <f>C7</f>
        <v>28634</v>
      </c>
      <c r="D10" s="19">
        <f>D7</f>
        <v>36600</v>
      </c>
      <c r="E10" s="20">
        <f t="shared" si="0"/>
        <v>4700</v>
      </c>
      <c r="F10" s="19">
        <f>F7</f>
        <v>4387</v>
      </c>
      <c r="G10" s="21">
        <f t="shared" si="1"/>
        <v>0.13618725359327</v>
      </c>
      <c r="H10" s="22"/>
      <c r="I10" s="19">
        <f>I7</f>
        <v>32213</v>
      </c>
      <c r="K10" s="31">
        <f t="shared" si="3"/>
        <v>7966</v>
      </c>
      <c r="N10" s="31">
        <f t="shared" si="2"/>
        <v>7966</v>
      </c>
    </row>
    <row r="11" ht="17.25" customHeight="1" spans="1:17">
      <c r="A11" s="13" t="s">
        <v>276</v>
      </c>
      <c r="B11" s="14">
        <f>SUM(B12,B15:B16,B17:B19)</f>
        <v>91900</v>
      </c>
      <c r="C11" s="14">
        <f>SUM(C12,C15:C16,C17:C19)</f>
        <v>54032</v>
      </c>
      <c r="D11" s="14">
        <f>SUM(D12,D15:D16,D17:D19)</f>
        <v>69700</v>
      </c>
      <c r="E11" s="15">
        <f t="shared" si="0"/>
        <v>-22200</v>
      </c>
      <c r="F11" s="14">
        <f>SUM(F12,F15:F16,F17:F19)</f>
        <v>-18091</v>
      </c>
      <c r="G11" s="16">
        <f t="shared" si="1"/>
        <v>-0.206068959232723</v>
      </c>
      <c r="H11" s="22"/>
      <c r="I11" s="14">
        <f>SUM(I12,I15:I16,I17:I19)</f>
        <v>87791</v>
      </c>
      <c r="K11" s="31">
        <f t="shared" si="3"/>
        <v>15668</v>
      </c>
      <c r="N11" s="31">
        <f t="shared" si="2"/>
        <v>15668</v>
      </c>
      <c r="Q11" s="1">
        <f>Q8/Q9</f>
        <v>0.635660047290413</v>
      </c>
    </row>
    <row r="12" ht="17.25" customHeight="1" spans="1:17">
      <c r="A12" s="18" t="s">
        <v>277</v>
      </c>
      <c r="B12" s="19">
        <f>SUM(B13:B14)</f>
        <v>45550</v>
      </c>
      <c r="C12" s="19">
        <f>SUM(C13:C14)</f>
        <v>22360</v>
      </c>
      <c r="D12" s="19">
        <f>SUM(D13:D14)</f>
        <v>29570</v>
      </c>
      <c r="E12" s="20">
        <f t="shared" si="0"/>
        <v>-15980</v>
      </c>
      <c r="F12" s="19">
        <f>SUM(F13:F14)</f>
        <v>-15629</v>
      </c>
      <c r="G12" s="21">
        <f t="shared" si="1"/>
        <v>-0.345781986327131</v>
      </c>
      <c r="H12" s="22"/>
      <c r="I12" s="19">
        <f>SUM(I13:I14)</f>
        <v>45199</v>
      </c>
      <c r="K12" s="31">
        <f t="shared" si="3"/>
        <v>7210</v>
      </c>
      <c r="N12" s="31">
        <f t="shared" si="2"/>
        <v>7210</v>
      </c>
      <c r="Q12" s="1">
        <v>7500</v>
      </c>
    </row>
    <row r="13" ht="17.25" customHeight="1" spans="1:17">
      <c r="A13" s="18" t="s">
        <v>278</v>
      </c>
      <c r="B13" s="19">
        <v>28200</v>
      </c>
      <c r="C13" s="20">
        <v>13920</v>
      </c>
      <c r="D13" s="20">
        <v>18310</v>
      </c>
      <c r="E13" s="20">
        <f t="shared" si="0"/>
        <v>-9890</v>
      </c>
      <c r="F13" s="20">
        <f t="shared" ref="F13:F28" si="4">D13-I13</f>
        <v>-10259</v>
      </c>
      <c r="G13" s="21">
        <f t="shared" si="1"/>
        <v>-0.359095523119465</v>
      </c>
      <c r="H13" s="25"/>
      <c r="I13" s="32">
        <v>28569</v>
      </c>
      <c r="J13" s="33"/>
      <c r="K13" s="31">
        <f t="shared" si="3"/>
        <v>4390</v>
      </c>
      <c r="L13" s="34"/>
      <c r="N13" s="31">
        <f t="shared" si="2"/>
        <v>4390</v>
      </c>
      <c r="Q13" s="1">
        <f>Q11*Q12</f>
        <v>4767.4503546781</v>
      </c>
    </row>
    <row r="14" ht="17.25" customHeight="1" spans="1:12">
      <c r="A14" s="18" t="s">
        <v>279</v>
      </c>
      <c r="B14" s="19">
        <v>17350</v>
      </c>
      <c r="C14" s="20">
        <v>8440</v>
      </c>
      <c r="D14" s="20">
        <v>11260</v>
      </c>
      <c r="E14" s="20">
        <f t="shared" si="0"/>
        <v>-6090</v>
      </c>
      <c r="F14" s="20">
        <f t="shared" si="4"/>
        <v>-5370</v>
      </c>
      <c r="G14" s="21">
        <f t="shared" si="1"/>
        <v>-0.32291040288635</v>
      </c>
      <c r="H14" s="25"/>
      <c r="I14" s="32">
        <v>16630</v>
      </c>
      <c r="J14" s="34"/>
      <c r="K14" s="31">
        <f t="shared" si="3"/>
        <v>2820</v>
      </c>
      <c r="L14" s="35"/>
    </row>
    <row r="15" ht="17.25" customHeight="1" spans="1:14">
      <c r="A15" s="18" t="s">
        <v>280</v>
      </c>
      <c r="B15" s="19">
        <v>0</v>
      </c>
      <c r="C15" s="20"/>
      <c r="D15" s="20"/>
      <c r="E15" s="20">
        <f t="shared" si="0"/>
        <v>0</v>
      </c>
      <c r="F15" s="20">
        <f t="shared" si="4"/>
        <v>0</v>
      </c>
      <c r="G15" s="21" t="e">
        <f t="shared" si="1"/>
        <v>#DIV/0!</v>
      </c>
      <c r="H15" s="25"/>
      <c r="I15" s="36"/>
      <c r="J15" s="34"/>
      <c r="K15" s="31">
        <f t="shared" si="3"/>
        <v>0</v>
      </c>
      <c r="L15" s="34"/>
      <c r="N15" s="31">
        <f>D15-C15</f>
        <v>0</v>
      </c>
    </row>
    <row r="16" ht="17.25" customHeight="1" spans="1:12">
      <c r="A16" s="18" t="s">
        <v>281</v>
      </c>
      <c r="B16" s="19">
        <v>11450</v>
      </c>
      <c r="C16" s="20">
        <v>9119</v>
      </c>
      <c r="D16" s="20">
        <v>9400</v>
      </c>
      <c r="E16" s="20">
        <f t="shared" si="0"/>
        <v>-2050</v>
      </c>
      <c r="F16" s="20">
        <f t="shared" si="4"/>
        <v>-1806</v>
      </c>
      <c r="G16" s="21">
        <f t="shared" si="1"/>
        <v>-0.161163662323755</v>
      </c>
      <c r="H16" s="25"/>
      <c r="I16" s="36">
        <v>11206</v>
      </c>
      <c r="J16" s="34"/>
      <c r="K16" s="31">
        <f t="shared" si="3"/>
        <v>281</v>
      </c>
      <c r="L16" s="34"/>
    </row>
    <row r="17" ht="17.25" customHeight="1" spans="1:14">
      <c r="A17" s="18" t="s">
        <v>282</v>
      </c>
      <c r="B17" s="19">
        <v>2000</v>
      </c>
      <c r="C17" s="20">
        <v>2986</v>
      </c>
      <c r="D17" s="20">
        <v>6540</v>
      </c>
      <c r="E17" s="20">
        <f t="shared" si="0"/>
        <v>4540</v>
      </c>
      <c r="F17" s="20">
        <f t="shared" si="4"/>
        <v>4388</v>
      </c>
      <c r="G17" s="21">
        <f t="shared" si="1"/>
        <v>2.03903345724907</v>
      </c>
      <c r="H17" s="25"/>
      <c r="I17" s="37">
        <v>2152</v>
      </c>
      <c r="J17" s="34"/>
      <c r="K17" s="31">
        <f t="shared" si="3"/>
        <v>3554</v>
      </c>
      <c r="L17" s="34"/>
      <c r="N17" s="31">
        <f>D17-C17</f>
        <v>3554</v>
      </c>
    </row>
    <row r="18" ht="17.25" customHeight="1" spans="1:14">
      <c r="A18" s="18" t="s">
        <v>283</v>
      </c>
      <c r="B18" s="19">
        <v>24600</v>
      </c>
      <c r="C18" s="20">
        <v>15424</v>
      </c>
      <c r="D18" s="20">
        <v>19050</v>
      </c>
      <c r="E18" s="20">
        <f t="shared" si="0"/>
        <v>-5550</v>
      </c>
      <c r="F18" s="20">
        <f t="shared" si="4"/>
        <v>-2298</v>
      </c>
      <c r="G18" s="21">
        <f t="shared" si="1"/>
        <v>-0.107644744238336</v>
      </c>
      <c r="H18" s="25"/>
      <c r="I18" s="37">
        <v>21348</v>
      </c>
      <c r="J18" s="34"/>
      <c r="K18" s="31">
        <f t="shared" si="3"/>
        <v>3626</v>
      </c>
      <c r="L18" s="34"/>
      <c r="N18" s="31">
        <f>D18-C18</f>
        <v>3626</v>
      </c>
    </row>
    <row r="19" ht="17.25" customHeight="1" spans="1:14">
      <c r="A19" s="18" t="s">
        <v>284</v>
      </c>
      <c r="B19" s="19">
        <v>8300</v>
      </c>
      <c r="C19" s="20">
        <v>4143</v>
      </c>
      <c r="D19" s="20">
        <v>5140</v>
      </c>
      <c r="E19" s="20">
        <f t="shared" si="0"/>
        <v>-3160</v>
      </c>
      <c r="F19" s="20">
        <f t="shared" si="4"/>
        <v>-2746</v>
      </c>
      <c r="G19" s="21">
        <f t="shared" si="1"/>
        <v>-0.348212021303576</v>
      </c>
      <c r="H19" s="25"/>
      <c r="I19" s="37">
        <v>7886</v>
      </c>
      <c r="J19" s="38"/>
      <c r="K19" s="31">
        <f t="shared" si="3"/>
        <v>997</v>
      </c>
      <c r="L19" s="38"/>
      <c r="N19" s="31">
        <f>D19-C19</f>
        <v>997</v>
      </c>
    </row>
    <row r="20" ht="17.25" customHeight="1" spans="1:14">
      <c r="A20" s="13" t="s">
        <v>285</v>
      </c>
      <c r="B20" s="14">
        <f>SUM(B21:B23,B25:B26,B27:B28)</f>
        <v>34500</v>
      </c>
      <c r="C20" s="14">
        <f>SUM(C21:C23,C25:C26,C27:C28)</f>
        <v>30014</v>
      </c>
      <c r="D20" s="14">
        <f>SUM(D21:D23,D25:D26,D27:D28)</f>
        <v>38300</v>
      </c>
      <c r="E20" s="15">
        <f t="shared" si="0"/>
        <v>3800</v>
      </c>
      <c r="F20" s="14">
        <f>SUM(F21:F23,F25:F26,F27:F28)</f>
        <v>3391</v>
      </c>
      <c r="G20" s="16">
        <f t="shared" si="1"/>
        <v>0.0971382737975881</v>
      </c>
      <c r="H20" s="25"/>
      <c r="I20" s="14">
        <f>SUM(I21:I23,I25:I26,I27:I28)</f>
        <v>34909</v>
      </c>
      <c r="K20" s="31">
        <f t="shared" si="3"/>
        <v>8286</v>
      </c>
      <c r="N20" s="31">
        <f>D20-C20</f>
        <v>8286</v>
      </c>
    </row>
    <row r="21" ht="17.25" customHeight="1" spans="1:14">
      <c r="A21" s="18" t="s">
        <v>286</v>
      </c>
      <c r="B21" s="19">
        <v>1200</v>
      </c>
      <c r="C21" s="20">
        <v>869</v>
      </c>
      <c r="D21" s="20">
        <v>2700</v>
      </c>
      <c r="E21" s="20">
        <f t="shared" si="0"/>
        <v>1500</v>
      </c>
      <c r="F21" s="20">
        <f t="shared" si="4"/>
        <v>1566</v>
      </c>
      <c r="G21" s="21">
        <f t="shared" si="1"/>
        <v>1.38095238095238</v>
      </c>
      <c r="H21" s="25"/>
      <c r="I21" s="37">
        <v>1134</v>
      </c>
      <c r="K21" s="31">
        <f t="shared" si="3"/>
        <v>1831</v>
      </c>
      <c r="N21" s="31">
        <f>D21-C21</f>
        <v>1831</v>
      </c>
    </row>
    <row r="22" ht="17.25" customHeight="1" spans="1:14">
      <c r="A22" s="18" t="s">
        <v>287</v>
      </c>
      <c r="B22" s="19">
        <v>3000</v>
      </c>
      <c r="C22" s="20">
        <v>1972</v>
      </c>
      <c r="D22" s="20">
        <v>2200</v>
      </c>
      <c r="E22" s="20">
        <f t="shared" si="0"/>
        <v>-800</v>
      </c>
      <c r="F22" s="20">
        <f t="shared" si="4"/>
        <v>-1456</v>
      </c>
      <c r="G22" s="21">
        <f t="shared" si="1"/>
        <v>-0.398249452954048</v>
      </c>
      <c r="H22" s="25"/>
      <c r="I22" s="39">
        <v>3656</v>
      </c>
      <c r="K22" s="31">
        <f t="shared" si="3"/>
        <v>228</v>
      </c>
      <c r="N22" s="31">
        <f t="shared" ref="N22:N32" si="5">D22-C22</f>
        <v>228</v>
      </c>
    </row>
    <row r="23" ht="17.25" customHeight="1" spans="1:14">
      <c r="A23" s="26" t="s">
        <v>288</v>
      </c>
      <c r="B23" s="19">
        <v>8500</v>
      </c>
      <c r="C23" s="20">
        <v>3802</v>
      </c>
      <c r="D23" s="20">
        <v>8500</v>
      </c>
      <c r="E23" s="20">
        <f t="shared" si="0"/>
        <v>0</v>
      </c>
      <c r="F23" s="20">
        <f t="shared" si="4"/>
        <v>117</v>
      </c>
      <c r="G23" s="21">
        <f t="shared" si="1"/>
        <v>0.0139568173684839</v>
      </c>
      <c r="H23" s="25"/>
      <c r="I23" s="36">
        <v>8383</v>
      </c>
      <c r="K23" s="31">
        <f t="shared" si="3"/>
        <v>4698</v>
      </c>
      <c r="N23" s="31">
        <f t="shared" si="5"/>
        <v>4698</v>
      </c>
    </row>
    <row r="24" ht="17.25" customHeight="1" spans="1:14">
      <c r="A24" s="26" t="s">
        <v>289</v>
      </c>
      <c r="B24" s="19">
        <v>2600</v>
      </c>
      <c r="C24" s="20">
        <v>1380</v>
      </c>
      <c r="D24" s="20">
        <v>1700</v>
      </c>
      <c r="E24" s="20">
        <f t="shared" si="0"/>
        <v>-900</v>
      </c>
      <c r="F24" s="20">
        <f t="shared" si="4"/>
        <v>-996</v>
      </c>
      <c r="G24" s="21">
        <f t="shared" si="1"/>
        <v>-0.369436201780415</v>
      </c>
      <c r="H24" s="25"/>
      <c r="I24" s="36">
        <v>2696</v>
      </c>
      <c r="K24" s="31">
        <f t="shared" si="3"/>
        <v>320</v>
      </c>
      <c r="N24" s="31">
        <f t="shared" si="5"/>
        <v>320</v>
      </c>
    </row>
    <row r="25" ht="17.25" customHeight="1" spans="1:14">
      <c r="A25" s="26" t="s">
        <v>290</v>
      </c>
      <c r="B25" s="19">
        <v>5400</v>
      </c>
      <c r="C25" s="20"/>
      <c r="D25" s="20"/>
      <c r="E25" s="20">
        <f t="shared" si="0"/>
        <v>-5400</v>
      </c>
      <c r="F25" s="20">
        <f t="shared" si="4"/>
        <v>-5400</v>
      </c>
      <c r="G25" s="21">
        <f t="shared" si="1"/>
        <v>-1</v>
      </c>
      <c r="H25" s="25"/>
      <c r="I25" s="36">
        <v>5400</v>
      </c>
      <c r="K25" s="31">
        <f t="shared" si="3"/>
        <v>0</v>
      </c>
      <c r="N25" s="31">
        <f t="shared" si="5"/>
        <v>0</v>
      </c>
    </row>
    <row r="26" ht="17.25" customHeight="1" spans="1:14">
      <c r="A26" s="26" t="s">
        <v>291</v>
      </c>
      <c r="B26" s="19">
        <v>1400</v>
      </c>
      <c r="C26" s="20">
        <v>987</v>
      </c>
      <c r="D26" s="20">
        <v>2400</v>
      </c>
      <c r="E26" s="20">
        <f t="shared" si="0"/>
        <v>1000</v>
      </c>
      <c r="F26" s="20">
        <f t="shared" si="4"/>
        <v>941</v>
      </c>
      <c r="G26" s="21">
        <f t="shared" si="1"/>
        <v>0.644962302947224</v>
      </c>
      <c r="H26" s="25"/>
      <c r="I26" s="36">
        <v>1459</v>
      </c>
      <c r="K26" s="31">
        <f t="shared" si="3"/>
        <v>1413</v>
      </c>
      <c r="N26" s="31">
        <f t="shared" si="5"/>
        <v>1413</v>
      </c>
    </row>
    <row r="27" ht="17.25" customHeight="1" spans="1:14">
      <c r="A27" s="26" t="s">
        <v>292</v>
      </c>
      <c r="B27" s="19">
        <v>55</v>
      </c>
      <c r="C27" s="20"/>
      <c r="D27" s="20">
        <v>55</v>
      </c>
      <c r="E27" s="20">
        <f t="shared" si="0"/>
        <v>0</v>
      </c>
      <c r="F27" s="20">
        <f t="shared" si="4"/>
        <v>5</v>
      </c>
      <c r="G27" s="21">
        <f t="shared" si="1"/>
        <v>0.1</v>
      </c>
      <c r="H27" s="25"/>
      <c r="I27" s="36">
        <v>50</v>
      </c>
      <c r="K27" s="31">
        <f t="shared" si="3"/>
        <v>55</v>
      </c>
      <c r="N27" s="31">
        <f t="shared" si="5"/>
        <v>55</v>
      </c>
    </row>
    <row r="28" ht="17.25" customHeight="1" spans="1:14">
      <c r="A28" s="26" t="s">
        <v>294</v>
      </c>
      <c r="B28" s="19">
        <v>14945</v>
      </c>
      <c r="C28" s="20">
        <v>22384</v>
      </c>
      <c r="D28" s="20">
        <v>22445</v>
      </c>
      <c r="E28" s="20">
        <f t="shared" si="0"/>
        <v>7500</v>
      </c>
      <c r="F28" s="20">
        <f t="shared" si="4"/>
        <v>7618</v>
      </c>
      <c r="G28" s="21">
        <f t="shared" si="1"/>
        <v>0.513792405746274</v>
      </c>
      <c r="H28" s="25"/>
      <c r="I28" s="36">
        <v>14827</v>
      </c>
      <c r="K28" s="31">
        <f t="shared" si="3"/>
        <v>61</v>
      </c>
      <c r="N28" s="31">
        <f t="shared" si="5"/>
        <v>61</v>
      </c>
    </row>
    <row r="29" ht="17.25" customHeight="1" spans="1:14">
      <c r="A29" s="13" t="s">
        <v>295</v>
      </c>
      <c r="B29" s="14">
        <f>SUM(B30,B31,B32:B34,B35)</f>
        <v>72000</v>
      </c>
      <c r="C29" s="14">
        <f>SUM(C30,C31,C32:C34,C35)</f>
        <v>46001.5</v>
      </c>
      <c r="D29" s="14">
        <f>SUM(D30,D31,D32:D34,D35)</f>
        <v>60000</v>
      </c>
      <c r="E29" s="15">
        <f t="shared" si="0"/>
        <v>-12000</v>
      </c>
      <c r="F29" s="14">
        <f>SUM(F30,F31,F32:F34,F35)</f>
        <v>-11269</v>
      </c>
      <c r="G29" s="16">
        <f t="shared" si="1"/>
        <v>-0.158119238378538</v>
      </c>
      <c r="H29" s="25"/>
      <c r="I29" s="14">
        <f>SUM(I30,I31,I32:I34,I35)</f>
        <v>71269</v>
      </c>
      <c r="N29" s="31">
        <f t="shared" si="5"/>
        <v>13998.5</v>
      </c>
    </row>
    <row r="30" ht="17.25" customHeight="1" spans="1:14">
      <c r="A30" s="18" t="s">
        <v>296</v>
      </c>
      <c r="B30" s="19">
        <f t="shared" ref="B30:D31" si="6">B13</f>
        <v>28200</v>
      </c>
      <c r="C30" s="19">
        <f t="shared" si="6"/>
        <v>13920</v>
      </c>
      <c r="D30" s="19">
        <f t="shared" si="6"/>
        <v>18310</v>
      </c>
      <c r="E30" s="20">
        <f t="shared" si="0"/>
        <v>-9890</v>
      </c>
      <c r="F30" s="20">
        <f>D30-I30</f>
        <v>-10259</v>
      </c>
      <c r="G30" s="21">
        <f t="shared" si="1"/>
        <v>-0.359095523119465</v>
      </c>
      <c r="H30" s="25"/>
      <c r="I30" s="19">
        <f>I13</f>
        <v>28569</v>
      </c>
      <c r="N30" s="31">
        <f t="shared" si="5"/>
        <v>4390</v>
      </c>
    </row>
    <row r="31" ht="17.25" customHeight="1" spans="1:14">
      <c r="A31" s="18" t="s">
        <v>297</v>
      </c>
      <c r="B31" s="19">
        <f t="shared" si="6"/>
        <v>17350</v>
      </c>
      <c r="C31" s="19">
        <f t="shared" si="6"/>
        <v>8440</v>
      </c>
      <c r="D31" s="19">
        <f t="shared" si="6"/>
        <v>11260</v>
      </c>
      <c r="E31" s="20">
        <f t="shared" si="0"/>
        <v>-6090</v>
      </c>
      <c r="F31" s="20">
        <f>D31-I31</f>
        <v>-5370</v>
      </c>
      <c r="G31" s="21">
        <f t="shared" si="1"/>
        <v>-0.32291040288635</v>
      </c>
      <c r="H31" s="25"/>
      <c r="I31" s="19">
        <f>I14+I15</f>
        <v>16630</v>
      </c>
      <c r="N31" s="31">
        <f t="shared" si="5"/>
        <v>2820</v>
      </c>
    </row>
    <row r="32" ht="17.25" customHeight="1" spans="1:14">
      <c r="A32" s="18" t="s">
        <v>298</v>
      </c>
      <c r="B32" s="19">
        <v>70</v>
      </c>
      <c r="C32" s="19">
        <v>84</v>
      </c>
      <c r="D32" s="19">
        <v>100</v>
      </c>
      <c r="E32" s="20">
        <f t="shared" si="0"/>
        <v>30</v>
      </c>
      <c r="F32" s="20">
        <f>D32-I32</f>
        <v>38</v>
      </c>
      <c r="G32" s="21">
        <f t="shared" si="1"/>
        <v>0.612903225806452</v>
      </c>
      <c r="H32" s="25"/>
      <c r="I32" s="19">
        <v>62</v>
      </c>
      <c r="K32" s="31">
        <f>D32-C32</f>
        <v>16</v>
      </c>
      <c r="N32" s="31">
        <f t="shared" si="5"/>
        <v>16</v>
      </c>
    </row>
    <row r="33" ht="17.25" customHeight="1" spans="1:11">
      <c r="A33" s="18" t="s">
        <v>299</v>
      </c>
      <c r="B33" s="19">
        <v>6205</v>
      </c>
      <c r="C33" s="19">
        <v>5400</v>
      </c>
      <c r="D33" s="19">
        <v>6420</v>
      </c>
      <c r="E33" s="20">
        <f t="shared" si="0"/>
        <v>215</v>
      </c>
      <c r="F33" s="20">
        <f>D33-I33</f>
        <v>449</v>
      </c>
      <c r="G33" s="21">
        <f t="shared" si="1"/>
        <v>0.0751967844582146</v>
      </c>
      <c r="H33" s="25"/>
      <c r="I33" s="19">
        <v>5971</v>
      </c>
      <c r="K33" s="31">
        <f>D33-C33</f>
        <v>1020</v>
      </c>
    </row>
    <row r="34" ht="17.25" customHeight="1" spans="1:9">
      <c r="A34" s="18" t="s">
        <v>300</v>
      </c>
      <c r="B34" s="19">
        <f t="shared" ref="B34:D35" si="7">B16*1.5</f>
        <v>17175</v>
      </c>
      <c r="C34" s="19">
        <f t="shared" si="7"/>
        <v>13678.5</v>
      </c>
      <c r="D34" s="19">
        <f t="shared" si="7"/>
        <v>14100</v>
      </c>
      <c r="E34" s="20">
        <f t="shared" si="0"/>
        <v>-3075</v>
      </c>
      <c r="F34" s="19">
        <f>F16*1.5</f>
        <v>-2709</v>
      </c>
      <c r="G34" s="21">
        <f t="shared" si="1"/>
        <v>-0.161163662323755</v>
      </c>
      <c r="H34" s="27"/>
      <c r="I34" s="19">
        <f>I16*1.5</f>
        <v>16809</v>
      </c>
    </row>
    <row r="35" ht="17.25" customHeight="1" spans="1:9">
      <c r="A35" s="18" t="s">
        <v>301</v>
      </c>
      <c r="B35" s="19">
        <f t="shared" si="7"/>
        <v>3000</v>
      </c>
      <c r="C35" s="19">
        <f t="shared" si="7"/>
        <v>4479</v>
      </c>
      <c r="D35" s="19">
        <f t="shared" si="7"/>
        <v>9810</v>
      </c>
      <c r="E35" s="20">
        <f>SUM(E36:E37)</f>
        <v>-16500</v>
      </c>
      <c r="F35" s="19">
        <f>F17*1.5</f>
        <v>6582</v>
      </c>
      <c r="G35" s="21">
        <f t="shared" si="1"/>
        <v>2.03903345724907</v>
      </c>
      <c r="H35" s="27"/>
      <c r="I35" s="19">
        <f>I17*1.5</f>
        <v>3228</v>
      </c>
    </row>
    <row r="36" ht="17.25" customHeight="1" spans="1:11">
      <c r="A36" s="13" t="s">
        <v>302</v>
      </c>
      <c r="B36" s="14">
        <f>SUM(B37:B42)</f>
        <v>141500</v>
      </c>
      <c r="C36" s="14">
        <f>SUM(C37:C42)</f>
        <v>34811</v>
      </c>
      <c r="D36" s="14">
        <f>SUM(D37:D42)</f>
        <v>125000</v>
      </c>
      <c r="E36" s="15">
        <f>SUM(E37:E42)</f>
        <v>-16500</v>
      </c>
      <c r="F36" s="14">
        <f>SUM(F37:F42)</f>
        <v>-27518</v>
      </c>
      <c r="G36" s="16">
        <f t="shared" si="1"/>
        <v>-0.18042460562032</v>
      </c>
      <c r="H36" s="27"/>
      <c r="I36" s="14">
        <f>SUM(I37:I42)</f>
        <v>152518</v>
      </c>
      <c r="K36" s="31">
        <f>D36-I36</f>
        <v>-27518</v>
      </c>
    </row>
    <row r="37" ht="17.25" customHeight="1" spans="1:9">
      <c r="A37" s="28" t="s">
        <v>312</v>
      </c>
      <c r="B37" s="29"/>
      <c r="C37" s="20"/>
      <c r="D37" s="20"/>
      <c r="E37" s="20">
        <f t="shared" si="0"/>
        <v>0</v>
      </c>
      <c r="F37" s="20">
        <f t="shared" ref="F37:F42" si="8">D37-I37</f>
        <v>0</v>
      </c>
      <c r="G37" s="21" t="e">
        <f t="shared" si="1"/>
        <v>#DIV/0!</v>
      </c>
      <c r="H37" s="27"/>
      <c r="I37" s="20"/>
    </row>
    <row r="38" ht="17.25" customHeight="1" spans="1:9">
      <c r="A38" s="28" t="s">
        <v>304</v>
      </c>
      <c r="B38" s="29">
        <v>138050</v>
      </c>
      <c r="C38" s="20">
        <v>31932</v>
      </c>
      <c r="D38" s="20">
        <v>121558</v>
      </c>
      <c r="E38" s="20">
        <f t="shared" si="0"/>
        <v>-16492</v>
      </c>
      <c r="F38" s="20">
        <f t="shared" si="8"/>
        <v>-28576</v>
      </c>
      <c r="G38" s="21">
        <f t="shared" si="1"/>
        <v>-0.190336632608203</v>
      </c>
      <c r="H38" s="27"/>
      <c r="I38" s="36">
        <v>150134</v>
      </c>
    </row>
    <row r="39" ht="17.25" customHeight="1" spans="1:9">
      <c r="A39" s="28" t="s">
        <v>305</v>
      </c>
      <c r="B39" s="29">
        <v>2200</v>
      </c>
      <c r="C39" s="20">
        <v>1729</v>
      </c>
      <c r="D39" s="20">
        <v>2200</v>
      </c>
      <c r="E39" s="20">
        <f t="shared" si="0"/>
        <v>0</v>
      </c>
      <c r="F39" s="20">
        <f t="shared" si="8"/>
        <v>1051</v>
      </c>
      <c r="G39" s="21">
        <f t="shared" si="1"/>
        <v>0.914708442123586</v>
      </c>
      <c r="H39" s="27"/>
      <c r="I39" s="36">
        <v>1149</v>
      </c>
    </row>
    <row r="40" ht="17.25" customHeight="1" spans="1:9">
      <c r="A40" s="28" t="s">
        <v>306</v>
      </c>
      <c r="B40" s="29">
        <v>700</v>
      </c>
      <c r="C40" s="20">
        <v>817</v>
      </c>
      <c r="D40" s="20">
        <v>817</v>
      </c>
      <c r="E40" s="20">
        <f t="shared" si="0"/>
        <v>117</v>
      </c>
      <c r="F40" s="20">
        <f t="shared" si="8"/>
        <v>119</v>
      </c>
      <c r="G40" s="21">
        <f t="shared" si="1"/>
        <v>0.170487106017192</v>
      </c>
      <c r="H40" s="27"/>
      <c r="I40" s="40">
        <v>698</v>
      </c>
    </row>
    <row r="41" ht="17.25" customHeight="1" spans="1:9">
      <c r="A41" s="28" t="s">
        <v>307</v>
      </c>
      <c r="B41" s="29">
        <v>250</v>
      </c>
      <c r="C41" s="20">
        <v>98</v>
      </c>
      <c r="D41" s="20">
        <v>125</v>
      </c>
      <c r="E41" s="20">
        <f t="shared" si="0"/>
        <v>-125</v>
      </c>
      <c r="F41" s="20">
        <f t="shared" si="8"/>
        <v>-115</v>
      </c>
      <c r="G41" s="21">
        <f t="shared" si="1"/>
        <v>-0.479166666666667</v>
      </c>
      <c r="H41" s="27"/>
      <c r="I41" s="20">
        <v>240</v>
      </c>
    </row>
    <row r="42" ht="17.25" customHeight="1" spans="1:9">
      <c r="A42" s="28" t="s">
        <v>308</v>
      </c>
      <c r="B42" s="29">
        <v>300</v>
      </c>
      <c r="C42" s="20">
        <v>235</v>
      </c>
      <c r="D42" s="20">
        <v>300</v>
      </c>
      <c r="E42" s="20">
        <f t="shared" si="0"/>
        <v>0</v>
      </c>
      <c r="F42" s="20">
        <f t="shared" si="8"/>
        <v>3</v>
      </c>
      <c r="G42" s="21">
        <f t="shared" si="1"/>
        <v>0.0101010101010102</v>
      </c>
      <c r="H42" s="27"/>
      <c r="I42" s="20">
        <v>297</v>
      </c>
    </row>
    <row r="43" spans="4:9">
      <c r="D43" s="30"/>
      <c r="E43" s="30"/>
      <c r="F43" s="30"/>
      <c r="I43" s="30"/>
    </row>
    <row r="44" spans="4:9">
      <c r="D44" s="3">
        <f>(D22+1500)/D9</f>
        <v>0.0518207282913165</v>
      </c>
      <c r="I44" s="3">
        <f>I22/I9</f>
        <v>0.0404035938864146</v>
      </c>
    </row>
  </sheetData>
  <mergeCells count="5">
    <mergeCell ref="A1:G1"/>
    <mergeCell ref="D3:G3"/>
    <mergeCell ref="A3:A4"/>
    <mergeCell ref="B3:B4"/>
    <mergeCell ref="C3:C4"/>
  </mergeCells>
  <pageMargins left="0.747916666666667" right="0" top="0.590277777777778" bottom="0.393055555555556" header="0.511805555555556" footer="0.511805555555556"/>
  <pageSetup paperSize="9" scale="9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H6:O25"/>
  <sheetViews>
    <sheetView workbookViewId="0">
      <selection activeCell="I32" sqref="I32"/>
    </sheetView>
  </sheetViews>
  <sheetFormatPr defaultColWidth="9" defaultRowHeight="14.25"/>
  <cols>
    <col min="9" max="9" width="29.625" customWidth="1"/>
    <col min="12" max="12" width="16.75" customWidth="1"/>
  </cols>
  <sheetData>
    <row r="6" spans="8:15">
      <c r="H6">
        <v>37856</v>
      </c>
      <c r="I6" t="s">
        <v>19</v>
      </c>
      <c r="J6">
        <v>37856</v>
      </c>
      <c r="L6" t="s">
        <v>129</v>
      </c>
      <c r="M6">
        <v>23889</v>
      </c>
      <c r="N6">
        <v>12387</v>
      </c>
      <c r="O6">
        <f>H6-N6</f>
        <v>25469</v>
      </c>
    </row>
    <row r="7" spans="8:15">
      <c r="H7">
        <v>534</v>
      </c>
      <c r="I7" t="s">
        <v>22</v>
      </c>
      <c r="J7">
        <v>534</v>
      </c>
      <c r="L7" t="s">
        <v>131</v>
      </c>
      <c r="M7">
        <v>137</v>
      </c>
      <c r="N7">
        <v>281</v>
      </c>
      <c r="O7">
        <f t="shared" ref="O7:O25" si="0">H7-N7</f>
        <v>253</v>
      </c>
    </row>
    <row r="8" spans="8:15">
      <c r="H8">
        <v>14779</v>
      </c>
      <c r="I8" t="s">
        <v>25</v>
      </c>
      <c r="J8">
        <v>14779</v>
      </c>
      <c r="L8" t="s">
        <v>133</v>
      </c>
      <c r="M8">
        <v>11762</v>
      </c>
      <c r="N8">
        <v>2819</v>
      </c>
      <c r="O8">
        <f t="shared" si="0"/>
        <v>11960</v>
      </c>
    </row>
    <row r="9" spans="8:15">
      <c r="H9">
        <v>116333</v>
      </c>
      <c r="I9" t="s">
        <v>28</v>
      </c>
      <c r="J9">
        <v>116333</v>
      </c>
      <c r="L9" t="s">
        <v>135</v>
      </c>
      <c r="M9">
        <v>100396</v>
      </c>
      <c r="N9">
        <v>9966</v>
      </c>
      <c r="O9">
        <f t="shared" si="0"/>
        <v>106367</v>
      </c>
    </row>
    <row r="10" spans="8:15">
      <c r="H10">
        <v>2955</v>
      </c>
      <c r="I10" t="s">
        <v>31</v>
      </c>
      <c r="J10">
        <v>2955</v>
      </c>
      <c r="L10" t="s">
        <v>137</v>
      </c>
      <c r="M10">
        <v>549</v>
      </c>
      <c r="N10">
        <v>2406</v>
      </c>
      <c r="O10">
        <f t="shared" si="0"/>
        <v>549</v>
      </c>
    </row>
    <row r="11" spans="8:15">
      <c r="H11">
        <v>4094</v>
      </c>
      <c r="I11" t="s">
        <v>34</v>
      </c>
      <c r="J11">
        <v>4094</v>
      </c>
      <c r="L11" t="s">
        <v>139</v>
      </c>
      <c r="M11">
        <v>2502</v>
      </c>
      <c r="N11">
        <v>1506</v>
      </c>
      <c r="O11">
        <f t="shared" si="0"/>
        <v>2588</v>
      </c>
    </row>
    <row r="12" spans="8:15">
      <c r="H12">
        <v>37767</v>
      </c>
      <c r="I12" t="s">
        <v>37</v>
      </c>
      <c r="J12">
        <v>37767</v>
      </c>
      <c r="L12" t="s">
        <v>141</v>
      </c>
      <c r="M12">
        <v>8933</v>
      </c>
      <c r="N12">
        <v>29358</v>
      </c>
      <c r="O12">
        <f t="shared" si="0"/>
        <v>8409</v>
      </c>
    </row>
    <row r="13" spans="8:15">
      <c r="H13">
        <v>32177</v>
      </c>
      <c r="I13" t="s">
        <v>40</v>
      </c>
      <c r="J13">
        <v>32177</v>
      </c>
      <c r="L13" t="s">
        <v>143</v>
      </c>
      <c r="M13">
        <v>11218</v>
      </c>
      <c r="N13">
        <v>20413</v>
      </c>
      <c r="O13">
        <f t="shared" si="0"/>
        <v>11764</v>
      </c>
    </row>
    <row r="14" spans="8:15">
      <c r="H14">
        <v>6874</v>
      </c>
      <c r="I14" t="s">
        <v>43</v>
      </c>
      <c r="J14">
        <v>6874</v>
      </c>
      <c r="L14" t="s">
        <v>145</v>
      </c>
      <c r="M14">
        <v>0</v>
      </c>
      <c r="N14">
        <v>6874</v>
      </c>
      <c r="O14">
        <f t="shared" si="0"/>
        <v>0</v>
      </c>
    </row>
    <row r="15" spans="8:15">
      <c r="H15">
        <v>7495</v>
      </c>
      <c r="I15" t="s">
        <v>46</v>
      </c>
      <c r="J15">
        <v>7495</v>
      </c>
      <c r="L15" t="s">
        <v>147</v>
      </c>
      <c r="M15">
        <v>4655</v>
      </c>
      <c r="N15">
        <v>3878</v>
      </c>
      <c r="O15">
        <f t="shared" si="0"/>
        <v>3617</v>
      </c>
    </row>
    <row r="16" spans="8:15">
      <c r="H16">
        <v>19313</v>
      </c>
      <c r="I16" t="s">
        <v>49</v>
      </c>
      <c r="J16">
        <v>19313</v>
      </c>
      <c r="L16" t="s">
        <v>149</v>
      </c>
      <c r="M16">
        <v>9173</v>
      </c>
      <c r="N16">
        <v>10563</v>
      </c>
      <c r="O16">
        <f t="shared" si="0"/>
        <v>8750</v>
      </c>
    </row>
    <row r="17" spans="8:15">
      <c r="H17">
        <v>2935</v>
      </c>
      <c r="I17" t="s">
        <v>51</v>
      </c>
      <c r="J17">
        <v>2935</v>
      </c>
      <c r="L17" t="s">
        <v>151</v>
      </c>
      <c r="M17">
        <v>1719</v>
      </c>
      <c r="N17">
        <v>1836</v>
      </c>
      <c r="O17">
        <f t="shared" si="0"/>
        <v>1099</v>
      </c>
    </row>
    <row r="18" spans="8:15">
      <c r="H18">
        <v>20364</v>
      </c>
      <c r="I18" t="s">
        <v>54</v>
      </c>
      <c r="J18">
        <v>20364</v>
      </c>
      <c r="L18" t="s">
        <v>153</v>
      </c>
      <c r="M18">
        <v>693</v>
      </c>
      <c r="N18">
        <v>19671</v>
      </c>
      <c r="O18">
        <f t="shared" si="0"/>
        <v>693</v>
      </c>
    </row>
    <row r="19" spans="8:15">
      <c r="H19">
        <v>577</v>
      </c>
      <c r="I19" t="s">
        <v>57</v>
      </c>
      <c r="J19">
        <v>577</v>
      </c>
      <c r="L19" t="s">
        <v>155</v>
      </c>
      <c r="M19">
        <v>505</v>
      </c>
      <c r="N19">
        <v>72</v>
      </c>
      <c r="O19">
        <f t="shared" si="0"/>
        <v>505</v>
      </c>
    </row>
    <row r="20" spans="8:15">
      <c r="H20">
        <v>4030</v>
      </c>
      <c r="I20" t="s">
        <v>60</v>
      </c>
      <c r="J20">
        <v>4030</v>
      </c>
      <c r="L20" t="s">
        <v>160</v>
      </c>
      <c r="M20">
        <v>1416</v>
      </c>
      <c r="N20">
        <v>2814</v>
      </c>
      <c r="O20">
        <f t="shared" si="0"/>
        <v>1216</v>
      </c>
    </row>
    <row r="21" spans="8:15">
      <c r="H21">
        <v>200</v>
      </c>
      <c r="I21" t="s">
        <v>63</v>
      </c>
      <c r="J21">
        <v>200</v>
      </c>
      <c r="L21" t="s">
        <v>162</v>
      </c>
      <c r="M21">
        <v>0</v>
      </c>
      <c r="N21">
        <v>200</v>
      </c>
      <c r="O21">
        <f t="shared" si="0"/>
        <v>0</v>
      </c>
    </row>
    <row r="22" spans="8:15">
      <c r="H22">
        <v>2250</v>
      </c>
      <c r="I22" t="s">
        <v>66</v>
      </c>
      <c r="J22">
        <v>2250</v>
      </c>
      <c r="L22" t="s">
        <v>163</v>
      </c>
      <c r="M22">
        <v>0</v>
      </c>
      <c r="N22">
        <v>2250</v>
      </c>
      <c r="O22">
        <f t="shared" si="0"/>
        <v>0</v>
      </c>
    </row>
    <row r="23" spans="8:15">
      <c r="H23">
        <v>3643</v>
      </c>
      <c r="I23" t="s">
        <v>69</v>
      </c>
      <c r="J23">
        <v>3643</v>
      </c>
      <c r="L23" t="s">
        <v>164</v>
      </c>
      <c r="M23">
        <v>1035</v>
      </c>
      <c r="N23">
        <v>2472</v>
      </c>
      <c r="O23">
        <f t="shared" si="0"/>
        <v>1171</v>
      </c>
    </row>
    <row r="24" spans="8:15">
      <c r="H24">
        <v>16244</v>
      </c>
      <c r="I24" t="s">
        <v>72</v>
      </c>
      <c r="J24">
        <v>16244</v>
      </c>
      <c r="L24" t="s">
        <v>167</v>
      </c>
      <c r="N24">
        <v>16244</v>
      </c>
      <c r="O24">
        <f t="shared" si="0"/>
        <v>0</v>
      </c>
    </row>
    <row r="25" spans="8:15">
      <c r="H25">
        <v>15107</v>
      </c>
      <c r="I25" t="s">
        <v>75</v>
      </c>
      <c r="J25">
        <v>15107</v>
      </c>
      <c r="L25" t="s">
        <v>165</v>
      </c>
      <c r="N25">
        <v>5000</v>
      </c>
      <c r="O25">
        <f t="shared" si="0"/>
        <v>10107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雨林木风网络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支出调整计算</vt:lpstr>
      <vt:lpstr>专项调整</vt:lpstr>
      <vt:lpstr>收入调整 （对比)</vt:lpstr>
      <vt:lpstr>收入调整</vt:lpstr>
      <vt:lpstr>收入调整 (2)</vt:lpstr>
      <vt:lpstr>收入调整 (3)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WwW.YlmF.CoM</dc:creator>
  <cp:lastModifiedBy>Administrator</cp:lastModifiedBy>
  <dcterms:created xsi:type="dcterms:W3CDTF">2007-01-16T02:10:00Z</dcterms:created>
  <cp:lastPrinted>2021-10-22T00:59:00Z</cp:lastPrinted>
  <dcterms:modified xsi:type="dcterms:W3CDTF">2024-01-22T02:13:36Z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2052-11.1.0.12608</vt:lpwstr>
  </property>
  <property fmtid="{D5CDD505-2E9C-101B-9397-08002B2CF9AE}" pid="3" name="ICV">
    <vt:lpwstr>4C0F4F39374A485388CC23A221666E77</vt:lpwstr>
  </property>
</Properties>
</file>