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/>
  </bookViews>
  <sheets>
    <sheet name="总表" sheetId="4" r:id="rId1"/>
    <sheet name="支出调整计算" sheetId="1" r:id="rId2"/>
    <sheet name="专项调整" sheetId="2" r:id="rId3"/>
    <sheet name="收入调整 （对比)" sheetId="20" r:id="rId4"/>
    <sheet name="收入调整" sheetId="16" r:id="rId5"/>
    <sheet name="收入调整 (2)" sheetId="17" r:id="rId6"/>
    <sheet name="收入调整 (3)" sheetId="18" r:id="rId7"/>
    <sheet name="Sheet1" sheetId="19" r:id="rId8"/>
    <sheet name="Sheet2" sheetId="21" r:id="rId9"/>
  </sheets>
  <definedNames>
    <definedName name="_xlnm._FilterDatabase" localSheetId="2" hidden="1">专项调整!$A$7:$J$92</definedName>
    <definedName name="_xlnm.Print_Area" localSheetId="4">收入调整!$A$1:$G$43</definedName>
    <definedName name="_xlnm.Print_Area" localSheetId="5">'收入调整 (2)'!$A$1:$G$42</definedName>
    <definedName name="_xlnm.Print_Area" localSheetId="6">'收入调整 (3)'!$A$1:$G$42</definedName>
    <definedName name="_xlnm.Print_Area" localSheetId="1">支出调整计算!$A$1:$I$24</definedName>
    <definedName name="_xlnm.Print_Area" localSheetId="2">专项调整!$A$1:$J$91</definedName>
    <definedName name="_xlnm.Print_Area" localSheetId="0">总表!$A$1:$J$39</definedName>
    <definedName name="_xlnm.Print_Titles" localSheetId="4">收入调整!$1:$4</definedName>
    <definedName name="_xlnm.Print_Titles" localSheetId="5">'收入调整 (2)'!$1:$4</definedName>
    <definedName name="_xlnm.Print_Titles" localSheetId="6">'收入调整 (3)'!$1:$4</definedName>
    <definedName name="_xlnm.Print_Titles" localSheetId="2">专项调整!$3:$4</definedName>
    <definedName name="_xlnm.Print_Area" localSheetId="3">'收入调整 （对比)'!$A$1:$H$43</definedName>
    <definedName name="_xlnm.Print_Titles" localSheetId="3">'收入调整 （对比)'!$1:$4</definedName>
  </definedNames>
  <calcPr calcId="144525"/>
</workbook>
</file>

<file path=xl/comments1.xml><?xml version="1.0" encoding="utf-8"?>
<comments xmlns="http://schemas.openxmlformats.org/spreadsheetml/2006/main">
  <authors>
    <author>HP</author>
  </authors>
  <commentList>
    <comment ref="C91" authorId="0">
      <text>
        <r>
          <rPr>
            <b/>
            <sz val="9"/>
            <rFont val="Tahoma"/>
            <charset val="134"/>
          </rPr>
          <t>HP: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国土节日慰问</t>
        </r>
        <r>
          <rPr>
            <sz val="9"/>
            <rFont val="Tahoma"/>
            <charset val="134"/>
          </rPr>
          <t>1</t>
        </r>
      </text>
    </comment>
  </commentList>
</comments>
</file>

<file path=xl/sharedStrings.xml><?xml version="1.0" encoding="utf-8"?>
<sst xmlns="http://schemas.openxmlformats.org/spreadsheetml/2006/main" count="787" uniqueCount="519">
  <si>
    <t>永春县2023年度财政收支预算调整方案（草案）</t>
  </si>
  <si>
    <t>编制单位：永春县财政局</t>
  </si>
  <si>
    <t xml:space="preserve">       单位：万元</t>
  </si>
  <si>
    <t>一般公共预算部分</t>
  </si>
  <si>
    <t>年初    　　　预算数</t>
  </si>
  <si>
    <t>调整　　  预算数</t>
  </si>
  <si>
    <t>年初      预算数</t>
  </si>
  <si>
    <t>年初上级提前下达专项</t>
  </si>
  <si>
    <t>其他预算部分</t>
  </si>
  <si>
    <t>年初    　　　　预算数</t>
  </si>
  <si>
    <t>一、县本级可支配财力合计</t>
  </si>
  <si>
    <t>支出总计</t>
  </si>
  <si>
    <t>政 府 性 基 金 预  算</t>
  </si>
  <si>
    <t>（一）一般公共预算收入</t>
  </si>
  <si>
    <t>一、一般公共预算支出</t>
  </si>
  <si>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收</t>
    </r>
    <r>
      <rPr>
        <b/>
        <sz val="12"/>
        <color indexed="8"/>
        <rFont val="宋体"/>
        <charset val="134"/>
      </rPr>
      <t xml:space="preserve">  </t>
    </r>
    <r>
      <rPr>
        <b/>
        <sz val="12"/>
        <color indexed="8"/>
        <rFont val="宋体"/>
        <charset val="134"/>
      </rPr>
      <t>入</t>
    </r>
    <r>
      <rPr>
        <b/>
        <sz val="12"/>
        <color indexed="8"/>
        <rFont val="宋体"/>
        <charset val="134"/>
      </rPr>
      <t xml:space="preserve">  </t>
    </r>
    <r>
      <rPr>
        <b/>
        <sz val="12"/>
        <color indexed="8"/>
        <rFont val="宋体"/>
        <charset val="134"/>
      </rPr>
      <t>科 目</t>
    </r>
    <r>
      <rPr>
        <b/>
        <sz val="12"/>
        <color indexed="8"/>
        <rFont val="宋体"/>
        <charset val="134"/>
      </rPr>
      <t xml:space="preserve"> </t>
    </r>
  </si>
  <si>
    <t>年初预算数</t>
  </si>
  <si>
    <t>调整预算数</t>
  </si>
  <si>
    <t xml:space="preserve"> 1、税收合计</t>
  </si>
  <si>
    <t xml:space="preserve"> (一)一般公共服务支出</t>
  </si>
  <si>
    <t>政府性基金本年收入小计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</si>
  <si>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1</t>
    </r>
    <r>
      <rPr>
        <sz val="12"/>
        <rFont val="宋体"/>
        <charset val="134"/>
      </rPr>
      <t>）增值税</t>
    </r>
  </si>
  <si>
    <t xml:space="preserve"> (二)国防支出</t>
  </si>
  <si>
    <t xml:space="preserve"> 1、国有土地使用权出让收入</t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</si>
  <si>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     国内</t>
    </r>
    <r>
      <rPr>
        <sz val="12"/>
        <rFont val="宋体"/>
        <charset val="134"/>
      </rPr>
      <t>增值税</t>
    </r>
  </si>
  <si>
    <t xml:space="preserve"> (三)公共安全支出</t>
  </si>
  <si>
    <t xml:space="preserve"> 2、城市基础设施配套费收入</t>
  </si>
  <si>
    <r>
      <rPr>
        <sz val="12"/>
        <rFont val="宋体"/>
        <charset val="134"/>
      </rPr>
      <t xml:space="preserve">         营</t>
    </r>
    <r>
      <rPr>
        <sz val="12"/>
        <rFont val="宋体"/>
        <charset val="134"/>
      </rPr>
      <t>改增增值税</t>
    </r>
  </si>
  <si>
    <t xml:space="preserve"> (四)教育支出</t>
  </si>
  <si>
    <t xml:space="preserve"> 3、污水处理费收入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</si>
  <si>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2</t>
    </r>
    <r>
      <rPr>
        <sz val="12"/>
        <rFont val="宋体"/>
        <charset val="134"/>
      </rPr>
      <t>）营业税</t>
    </r>
  </si>
  <si>
    <t xml:space="preserve"> (五)科学技术支出</t>
  </si>
  <si>
    <t xml:space="preserve"> 4、福利彩票公益金收入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</si>
  <si>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3</t>
    </r>
    <r>
      <rPr>
        <sz val="12"/>
        <rFont val="宋体"/>
        <charset val="134"/>
      </rPr>
      <t>）企业所得税（40%）</t>
    </r>
  </si>
  <si>
    <t xml:space="preserve"> (六)文化旅游体育与传媒支出</t>
  </si>
  <si>
    <t xml:space="preserve"> 5、体育彩票公益金收入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</si>
  <si>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4</t>
    </r>
    <r>
      <rPr>
        <sz val="12"/>
        <rFont val="宋体"/>
        <charset val="134"/>
      </rPr>
      <t>）个人所得税（40%）</t>
    </r>
  </si>
  <si>
    <t xml:space="preserve"> (七)社会保障和就业支出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</si>
  <si>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5</t>
    </r>
    <r>
      <rPr>
        <sz val="12"/>
        <rFont val="宋体"/>
        <charset val="134"/>
      </rPr>
      <t>）其他工商税收</t>
    </r>
  </si>
  <si>
    <t xml:space="preserve"> (八)卫生健康支出</t>
  </si>
  <si>
    <t>政府性基金上年结余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</si>
  <si>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6</t>
    </r>
    <r>
      <rPr>
        <sz val="12"/>
        <rFont val="宋体"/>
        <charset val="134"/>
      </rPr>
      <t>）契税和耕地占用税</t>
    </r>
  </si>
  <si>
    <t xml:space="preserve"> (九)节能环保支出</t>
  </si>
  <si>
    <t>新增地方政府专项债券收入</t>
  </si>
  <si>
    <t xml:space="preserve"> 2、非税收入</t>
  </si>
  <si>
    <t xml:space="preserve"> (十)城乡社区支出</t>
  </si>
  <si>
    <t>政府性基金收入合计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</si>
  <si>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1</t>
    </r>
    <r>
      <rPr>
        <sz val="12"/>
        <rFont val="宋体"/>
        <charset val="134"/>
      </rPr>
      <t>）专项收入</t>
    </r>
  </si>
  <si>
    <t xml:space="preserve"> (十一)农林水支出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</si>
  <si>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其中：</t>
    </r>
    <r>
      <rPr>
        <sz val="12"/>
        <rFont val="宋体"/>
        <charset val="134"/>
      </rPr>
      <t>教育费附加收入</t>
    </r>
  </si>
  <si>
    <t xml:space="preserve"> (十二)交通运输支出</t>
  </si>
  <si>
    <t>支 出 科 目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</si>
  <si>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2</t>
    </r>
    <r>
      <rPr>
        <sz val="12"/>
        <rFont val="宋体"/>
        <charset val="134"/>
      </rPr>
      <t>）行政事业性收费收入</t>
    </r>
  </si>
  <si>
    <t xml:space="preserve"> (十三)资源勘探工业信息等支出</t>
  </si>
  <si>
    <t>政府性基金支出合计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</si>
  <si>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3</t>
    </r>
    <r>
      <rPr>
        <sz val="12"/>
        <rFont val="宋体"/>
        <charset val="134"/>
      </rPr>
      <t>）罚没收入</t>
    </r>
  </si>
  <si>
    <t xml:space="preserve"> (十四)商业服务业等支出</t>
  </si>
  <si>
    <t xml:space="preserve"> 1、国有土地使用权出让支出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</si>
  <si>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4</t>
    </r>
    <r>
      <rPr>
        <sz val="12"/>
        <rFont val="宋体"/>
        <charset val="134"/>
      </rPr>
      <t>）国有资本经营收入</t>
    </r>
  </si>
  <si>
    <t xml:space="preserve"> (十五)自然资源海洋气象等支出</t>
  </si>
  <si>
    <t xml:space="preserve">     其中：调出资金</t>
  </si>
  <si>
    <t xml:space="preserve"> （5）国有资源有偿使用收入</t>
  </si>
  <si>
    <t xml:space="preserve"> (十六)住房保障支出</t>
  </si>
  <si>
    <t xml:space="preserve"> 2、城市基础设施配套费支出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</si>
  <si>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6</t>
    </r>
    <r>
      <rPr>
        <sz val="12"/>
        <rFont val="宋体"/>
        <charset val="134"/>
      </rPr>
      <t>）政府住房基金收入</t>
    </r>
  </si>
  <si>
    <t xml:space="preserve"> (十七)粮油物资储备支出</t>
  </si>
  <si>
    <t xml:space="preserve"> 3、污水处理费支出</t>
  </si>
  <si>
    <t xml:space="preserve"> （7）捐赠收入</t>
  </si>
  <si>
    <t>（十八）灾害防治及应急管理支出</t>
  </si>
  <si>
    <t xml:space="preserve"> 4、福利彩票公益金支出</t>
  </si>
  <si>
    <t xml:space="preserve"> （8）其他收入</t>
  </si>
  <si>
    <t xml:space="preserve"> (十九)债务付息及发行费支出</t>
  </si>
  <si>
    <t xml:space="preserve"> 5、体育彩票公益金支出</t>
  </si>
  <si>
    <t>（二）上级财力性补助收入</t>
  </si>
  <si>
    <t xml:space="preserve"> (二十)其他支出</t>
  </si>
  <si>
    <t xml:space="preserve"> 6、专项债券收入安排的支出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</si>
  <si>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1、</t>
    </r>
    <r>
      <rPr>
        <sz val="12"/>
        <rFont val="宋体"/>
        <charset val="134"/>
      </rPr>
      <t>返还性收入</t>
    </r>
  </si>
  <si>
    <t xml:space="preserve">     其中：预备费及预留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</si>
  <si>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2、</t>
    </r>
    <r>
      <rPr>
        <sz val="12"/>
        <rFont val="宋体"/>
        <charset val="134"/>
      </rPr>
      <t>一般性财力转移支付收入</t>
    </r>
  </si>
  <si>
    <t>二、上解支出</t>
  </si>
  <si>
    <t>（三）新增地方政府一般债务收入</t>
  </si>
  <si>
    <t xml:space="preserve">   1、体制上解</t>
  </si>
  <si>
    <t>国 有 资 本 经 营 预  算</t>
  </si>
  <si>
    <t>（四）调入预算稳定调节基金</t>
  </si>
  <si>
    <t xml:space="preserve">   2、其他上解</t>
  </si>
  <si>
    <t>科    目</t>
  </si>
  <si>
    <t>（五）调入资金</t>
  </si>
  <si>
    <t>三、援助其他地区支出</t>
  </si>
  <si>
    <t>国有资本经营预算收入</t>
  </si>
  <si>
    <t>四、债务还本</t>
  </si>
  <si>
    <t>国有资本经营预算支出</t>
  </si>
  <si>
    <t>另：上级提前下达专项性补助</t>
  </si>
  <si>
    <t>调出资金</t>
  </si>
  <si>
    <t>另：财税三家收入任务数</t>
  </si>
  <si>
    <t>社 会 保 险 基 金 预 算</t>
  </si>
  <si>
    <t>二、上划中央税收收入</t>
  </si>
  <si>
    <t xml:space="preserve">   一般公共预算总收入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</si>
  <si>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1、增值税</t>
    </r>
  </si>
  <si>
    <t xml:space="preserve">     1、税务局</t>
  </si>
  <si>
    <t>社会保险基金预算收入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</si>
  <si>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2、消费税</t>
    </r>
  </si>
  <si>
    <t xml:space="preserve">     2、财政局</t>
  </si>
  <si>
    <t xml:space="preserve">  其中：保险费收入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</si>
  <si>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3、所得税</t>
    </r>
  </si>
  <si>
    <t xml:space="preserve">   一般公共预算收入</t>
  </si>
  <si>
    <t xml:space="preserve">       财政补贴收入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</si>
  <si>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4、车辆购置税</t>
    </r>
  </si>
  <si>
    <t>社会保险基金预算支出</t>
  </si>
  <si>
    <t>三、一般公共预算总收入</t>
  </si>
  <si>
    <t>结转下年使用</t>
  </si>
  <si>
    <t xml:space="preserve">  企业所得税（40%）</t>
  </si>
  <si>
    <t xml:space="preserve">     国税部门</t>
  </si>
  <si>
    <t xml:space="preserve">     地税部门</t>
  </si>
  <si>
    <t xml:space="preserve"> </t>
  </si>
  <si>
    <t>2023年度财政支出预算调整计算表</t>
  </si>
  <si>
    <t>单位：万元</t>
  </si>
  <si>
    <t>科  目</t>
  </si>
  <si>
    <t>调增（减）</t>
  </si>
  <si>
    <t>增减财力安排及科目调剂</t>
  </si>
  <si>
    <t>地方政府债券支出</t>
  </si>
  <si>
    <t>暂缓支出</t>
  </si>
  <si>
    <t>转为暂付</t>
  </si>
  <si>
    <t>备注</t>
  </si>
  <si>
    <t>一、公共财政支出</t>
  </si>
  <si>
    <t>一般公共服务支出</t>
  </si>
  <si>
    <t xml:space="preserve"> (一)一般公共服务</t>
  </si>
  <si>
    <t>国防支出</t>
  </si>
  <si>
    <t xml:space="preserve"> (二)国防</t>
  </si>
  <si>
    <t>公共安全支出</t>
  </si>
  <si>
    <t xml:space="preserve"> (三)公共安全</t>
  </si>
  <si>
    <t>教育支出</t>
  </si>
  <si>
    <t xml:space="preserve"> (四)教育</t>
  </si>
  <si>
    <t>科学技术支出</t>
  </si>
  <si>
    <t xml:space="preserve"> (五)科学技术</t>
  </si>
  <si>
    <t>文化旅游体育与传媒支出</t>
  </si>
  <si>
    <t xml:space="preserve"> (六)文化体育与传媒</t>
  </si>
  <si>
    <t>社会保障和就业支出</t>
  </si>
  <si>
    <t xml:space="preserve"> (七)社会保障和就业</t>
  </si>
  <si>
    <t>卫生健康支出</t>
  </si>
  <si>
    <t xml:space="preserve"> (八)医疗卫生</t>
  </si>
  <si>
    <t>节能环保支出</t>
  </si>
  <si>
    <t xml:space="preserve"> (九)节能环保</t>
  </si>
  <si>
    <t>城乡社区支出</t>
  </si>
  <si>
    <t xml:space="preserve"> (十)城乡社区事务</t>
  </si>
  <si>
    <t>农林水支出</t>
  </si>
  <si>
    <t xml:space="preserve"> (十一)农林水事务</t>
  </si>
  <si>
    <t>交通运输支出</t>
  </si>
  <si>
    <t xml:space="preserve"> (十二)交通运输</t>
  </si>
  <si>
    <t>资源勘探工业信息等支出</t>
  </si>
  <si>
    <t xml:space="preserve"> (十三)资源勘探电力信息等事务</t>
  </si>
  <si>
    <t>商业服务业等支出</t>
  </si>
  <si>
    <t xml:space="preserve"> (十四)商业服务业等事务</t>
  </si>
  <si>
    <t>金融支出</t>
  </si>
  <si>
    <t xml:space="preserve"> (十五)国土资源气象等事务</t>
  </si>
  <si>
    <t>援助其他地区支出</t>
  </si>
  <si>
    <t>自然资源海洋气象等支出</t>
  </si>
  <si>
    <t xml:space="preserve"> (十七)粮油物资储备事务</t>
  </si>
  <si>
    <t>住房保障支出</t>
  </si>
  <si>
    <t>粮油物资储备支出</t>
  </si>
  <si>
    <t>灾害防治及应急管理支出</t>
  </si>
  <si>
    <t>预备费</t>
  </si>
  <si>
    <t>其他支出(类)</t>
  </si>
  <si>
    <t>债务付息支出</t>
  </si>
  <si>
    <t xml:space="preserve"> 1、一般公共服务支出</t>
  </si>
  <si>
    <t>债务发行费用支出</t>
  </si>
  <si>
    <t xml:space="preserve"> 2、国防支出</t>
  </si>
  <si>
    <t>民生支出</t>
  </si>
  <si>
    <t xml:space="preserve"> 3、公共安全支出</t>
  </si>
  <si>
    <t>占比</t>
  </si>
  <si>
    <t xml:space="preserve"> 4、教育支出</t>
  </si>
  <si>
    <t xml:space="preserve"> 5、科学技术支出</t>
  </si>
  <si>
    <t xml:space="preserve"> 6、文化旅游体育与传媒支出</t>
  </si>
  <si>
    <t xml:space="preserve"> 7、社会保障和就业支出</t>
  </si>
  <si>
    <t xml:space="preserve"> 8、卫生健康支出</t>
  </si>
  <si>
    <t xml:space="preserve"> 9、节能环保支出</t>
  </si>
  <si>
    <t xml:space="preserve"> 10、城乡社区支出</t>
  </si>
  <si>
    <t xml:space="preserve"> 11、农林水支出</t>
  </si>
  <si>
    <t xml:space="preserve"> 12、交通运输支出</t>
  </si>
  <si>
    <t xml:space="preserve"> 13、资源勘探工业信息等支出</t>
  </si>
  <si>
    <t xml:space="preserve"> 14、商业服务业等支出</t>
  </si>
  <si>
    <t xml:space="preserve"> 15、自然资源海洋气象等支出</t>
  </si>
  <si>
    <t xml:space="preserve"> 16、住房保障支出</t>
  </si>
  <si>
    <t xml:space="preserve"> 17、粮油物资储备支出</t>
  </si>
  <si>
    <t xml:space="preserve"> 18、灾害防治及应急管理支出</t>
  </si>
  <si>
    <t>2023年专项经费预算调整统计表</t>
  </si>
  <si>
    <r>
      <rPr>
        <sz val="12"/>
        <rFont val="Arial"/>
        <charset val="134"/>
      </rPr>
      <t xml:space="preserve">               </t>
    </r>
    <r>
      <rPr>
        <sz val="12"/>
        <rFont val="宋体"/>
        <charset val="134"/>
      </rPr>
      <t>单位：万元</t>
    </r>
  </si>
  <si>
    <t>科　目</t>
  </si>
  <si>
    <t>年初预算执行情况</t>
  </si>
  <si>
    <t>备　注</t>
  </si>
  <si>
    <t>年初预算专项</t>
  </si>
  <si>
    <t>1-10月已拨(含债券)</t>
  </si>
  <si>
    <t>至10月底  本年结余</t>
  </si>
  <si>
    <t>调整后专项预算数</t>
  </si>
  <si>
    <t>比年初预算增(减)</t>
  </si>
  <si>
    <t>预算调整后结余(至10月底)</t>
  </si>
  <si>
    <t>合　计</t>
  </si>
  <si>
    <t>1、一般公共服务</t>
  </si>
  <si>
    <t xml:space="preserve">  (1)粮油应急保障体系建设资金</t>
  </si>
  <si>
    <t xml:space="preserve">  (2)乡镇超收分成</t>
  </si>
  <si>
    <t xml:space="preserve">  (3)其他专项</t>
  </si>
  <si>
    <t>2、其他国防专项</t>
  </si>
  <si>
    <t>3、其他公共安全专项</t>
  </si>
  <si>
    <t xml:space="preserve">  (1)乡镇综治网格员补贴</t>
  </si>
  <si>
    <t xml:space="preserve">  (2)其他专项</t>
  </si>
  <si>
    <t>4、其他教育专项</t>
  </si>
  <si>
    <t xml:space="preserve">  (1)2022年教师年度绩效考评奖</t>
  </si>
  <si>
    <t xml:space="preserve">  (2)债券安排建设项目</t>
  </si>
  <si>
    <t xml:space="preserve">  (6)其他专项</t>
  </si>
  <si>
    <t xml:space="preserve">  (3)学校体育场地对外开放补助</t>
  </si>
  <si>
    <t xml:space="preserve">  (4)近视防控教室改造</t>
  </si>
  <si>
    <t xml:space="preserve">  (5)高考考场屏蔽设置设备</t>
  </si>
  <si>
    <t>5、科学技术</t>
  </si>
  <si>
    <t>6、文体传媒专项</t>
  </si>
  <si>
    <t xml:space="preserve">  (1)债券安排建设项目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</si>
  <si>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(2)其他专项</t>
    </r>
  </si>
  <si>
    <t xml:space="preserve">  (3)暂缓支出</t>
  </si>
  <si>
    <t xml:space="preserve"> （4）转为暂付</t>
  </si>
  <si>
    <t>7、社会保障和就业专项</t>
  </si>
  <si>
    <t xml:space="preserve">  (1)就业创业安居补助 </t>
  </si>
  <si>
    <t xml:space="preserve">  (2)创业担保贷款贴息资金</t>
  </si>
  <si>
    <t xml:space="preserve">  (3)再就业资金县配套</t>
  </si>
  <si>
    <t xml:space="preserve">  (4)欠薪应急保障金</t>
  </si>
  <si>
    <t xml:space="preserve">  (5)“涌泉行动”应届本科生一次性生活补贴</t>
  </si>
  <si>
    <t xml:space="preserve">  (6)“涌泉行动”应届本科生社保补助</t>
  </si>
  <si>
    <t xml:space="preserve">  (7)企业离休统筹缺口补助</t>
  </si>
  <si>
    <t xml:space="preserve">  (8)城乡居民医保错过缴费期政府补助</t>
  </si>
  <si>
    <t xml:space="preserve">  (9)医保工作人员食堂补助</t>
  </si>
  <si>
    <t xml:space="preserve">   （10）其他专项</t>
  </si>
  <si>
    <t>8、医疗卫生专项</t>
  </si>
  <si>
    <t xml:space="preserve">  (2)疫情防控支出</t>
  </si>
  <si>
    <t>9、节能环保专项</t>
  </si>
  <si>
    <r>
      <rPr>
        <sz val="12"/>
        <rFont val="宋体"/>
        <charset val="134"/>
      </rPr>
      <t xml:space="preserve">  (</t>
    </r>
    <r>
      <rPr>
        <sz val="12"/>
        <rFont val="宋体"/>
        <charset val="134"/>
      </rPr>
      <t xml:space="preserve">2)其他专项 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</si>
  <si>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</t>
    </r>
    <r>
      <rPr>
        <sz val="12"/>
        <rFont val="宋体"/>
        <charset val="134"/>
      </rPr>
      <t>、城乡社区专项</t>
    </r>
  </si>
  <si>
    <t xml:space="preserve">  (2)生活垃圾外运处置费</t>
  </si>
  <si>
    <t xml:space="preserve">  (3)外出建筑企业建安税回归补助</t>
  </si>
  <si>
    <t xml:space="preserve">  (4)其他专项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</si>
  <si>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  <r>
      <rPr>
        <sz val="12"/>
        <rFont val="宋体"/>
        <charset val="134"/>
      </rPr>
      <t>、其他农林水事务专项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</si>
  <si>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(1)债券安排的项目</t>
    </r>
  </si>
  <si>
    <t xml:space="preserve">  (2)永春农产品IP建设</t>
  </si>
  <si>
    <t xml:space="preserve">  (3)援藏援疆帮扶资金</t>
  </si>
  <si>
    <t>12、交通运输</t>
  </si>
  <si>
    <t xml:space="preserve">  (1)农村公路灾毁保险</t>
  </si>
  <si>
    <t xml:space="preserve">  (3)国省干线科技治超及智能化工程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</si>
  <si>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</t>
    </r>
    <r>
      <rPr>
        <sz val="12"/>
        <rFont val="宋体"/>
        <charset val="134"/>
      </rPr>
      <t>、资源勘探电力信息等事务专项</t>
    </r>
  </si>
  <si>
    <t xml:space="preserve">  (1)扶持企业奖励</t>
  </si>
  <si>
    <t xml:space="preserve">  (5)其他专项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</si>
  <si>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、商业服务业</t>
    </r>
  </si>
  <si>
    <t xml:space="preserve">  (1)扶持商贸业转型发展奖励</t>
  </si>
  <si>
    <t xml:space="preserve">  (2)扶持电子商务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</si>
  <si>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</t>
    </r>
    <r>
      <rPr>
        <sz val="12"/>
        <rFont val="宋体"/>
        <charset val="134"/>
      </rPr>
      <t>、国土资源气象等增加</t>
    </r>
  </si>
  <si>
    <t xml:space="preserve">  (1)年初原基金列支项目调入</t>
  </si>
  <si>
    <t>16、住房保障支出</t>
  </si>
  <si>
    <t>17、粮食油事务（年初原基金列支项目）</t>
  </si>
  <si>
    <t xml:space="preserve">  (2)储备粮(油)库建设</t>
  </si>
  <si>
    <t xml:space="preserve"> （3）暂缓支出 </t>
  </si>
  <si>
    <t>18、灾害防治及应急管理支出</t>
  </si>
  <si>
    <t xml:space="preserve">   (1)煤矿山及尾矿库闭库工作经费</t>
  </si>
  <si>
    <t xml:space="preserve">   (2)债券安排建设项目</t>
  </si>
  <si>
    <t xml:space="preserve">   (3)安全文化教育体验中心提升工程经费</t>
  </si>
  <si>
    <t>19、债务付息及发行费用支出</t>
  </si>
  <si>
    <t>20、其他支出</t>
  </si>
  <si>
    <t xml:space="preserve"> (1)2022年度机关事业绩效考核奖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</si>
  <si>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(2)</t>
    </r>
    <r>
      <rPr>
        <sz val="12"/>
        <rFont val="宋体"/>
        <charset val="134"/>
      </rPr>
      <t>预备费</t>
    </r>
  </si>
  <si>
    <t xml:space="preserve"> (3)2023年度行政年度考核奖</t>
  </si>
  <si>
    <t xml:space="preserve"> (3)增人增资、晋级晋档</t>
  </si>
  <si>
    <t>预留2000万用于</t>
  </si>
  <si>
    <t>其他专项</t>
  </si>
  <si>
    <t>2023年财政收入预算调整统计表</t>
  </si>
  <si>
    <t>项目　</t>
  </si>
  <si>
    <t>年初    预算数</t>
  </si>
  <si>
    <t>1-10月　　　　　自然增长完成数</t>
  </si>
  <si>
    <t>1-10月　　　　　同口径完成数</t>
  </si>
  <si>
    <t>全年收入预算调整</t>
  </si>
  <si>
    <t>自然增长调整预算数</t>
  </si>
  <si>
    <t>同口径调整预算数</t>
  </si>
  <si>
    <t>超年初预算</t>
  </si>
  <si>
    <t>比增%</t>
  </si>
  <si>
    <t>一、财政总收入</t>
  </si>
  <si>
    <t xml:space="preserve">    税务局</t>
  </si>
  <si>
    <t xml:space="preserve">    财政局</t>
  </si>
  <si>
    <t xml:space="preserve"> 1、公共财政预算收入</t>
  </si>
  <si>
    <t xml:space="preserve"> (1)税性收入</t>
  </si>
  <si>
    <t xml:space="preserve">     增值税</t>
  </si>
  <si>
    <t xml:space="preserve">       国内增值税（50%）</t>
  </si>
  <si>
    <t xml:space="preserve">       改增增值税(50%)</t>
  </si>
  <si>
    <t xml:space="preserve">     营业税</t>
  </si>
  <si>
    <t xml:space="preserve">     企业所得税(40%)</t>
  </si>
  <si>
    <t xml:space="preserve">     个人所得税(40%)</t>
  </si>
  <si>
    <t xml:space="preserve">     其他工商税收</t>
  </si>
  <si>
    <t xml:space="preserve">     契税和耕地占用税</t>
  </si>
  <si>
    <t xml:space="preserve"> (2)非税收入</t>
  </si>
  <si>
    <t xml:space="preserve">     行政性收费收入</t>
  </si>
  <si>
    <t xml:space="preserve">     罚没收入</t>
  </si>
  <si>
    <t xml:space="preserve">     专项收入</t>
  </si>
  <si>
    <t xml:space="preserve">       其中教育附加费收入</t>
  </si>
  <si>
    <t xml:space="preserve">     国有资本经营收入</t>
  </si>
  <si>
    <t xml:space="preserve">     国有资源有偿使用收入</t>
  </si>
  <si>
    <t xml:space="preserve">     政府住房基金收入</t>
  </si>
  <si>
    <t>　　　捐赠收入</t>
  </si>
  <si>
    <t xml:space="preserve">     其他收入</t>
  </si>
  <si>
    <t xml:space="preserve"> 2、中央级收入</t>
  </si>
  <si>
    <t xml:space="preserve">    国内增值税(50%)</t>
  </si>
  <si>
    <t xml:space="preserve">    改增增值税</t>
  </si>
  <si>
    <t xml:space="preserve">    消费税</t>
  </si>
  <si>
    <t xml:space="preserve">    车辆购置税</t>
  </si>
  <si>
    <t xml:space="preserve">    企业所得税(60%)</t>
  </si>
  <si>
    <t xml:space="preserve">    个人所得税(60%)</t>
  </si>
  <si>
    <t>二、基金预算收入</t>
  </si>
  <si>
    <t xml:space="preserve">  1、其他收入</t>
  </si>
  <si>
    <t xml:space="preserve">  2、国有土地使用权出让金收入</t>
  </si>
  <si>
    <t xml:space="preserve">  3、城市基础设施配套费收入</t>
  </si>
  <si>
    <t xml:space="preserve">  4、污水处理费收入</t>
  </si>
  <si>
    <t xml:space="preserve">  5、福利彩票公益金收入</t>
  </si>
  <si>
    <t xml:space="preserve">  6、体育彩票公益金收入</t>
  </si>
  <si>
    <t>1-10月　　　　　完成数</t>
  </si>
  <si>
    <t>比上年增收</t>
  </si>
  <si>
    <t>2020年财政收入预算调整统计表</t>
  </si>
  <si>
    <t xml:space="preserve">  1、其他收入（城镇附加）</t>
  </si>
  <si>
    <t>科目名称</t>
  </si>
  <si>
    <t>预算数</t>
  </si>
  <si>
    <t>一般公共预算支出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</si>
  <si>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</si>
  <si>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</si>
  <si>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</si>
  <si>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</si>
  <si>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</si>
  <si>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</si>
  <si>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</si>
  <si>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</si>
  <si>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</si>
  <si>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</si>
  <si>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</si>
  <si>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</si>
  <si>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</si>
  <si>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</si>
  <si>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</si>
  <si>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</si>
  <si>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</si>
  <si>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</si>
  <si>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</si>
  <si>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</si>
  <si>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</si>
  <si>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</si>
  <si>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</si>
  <si>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网信事务</t>
  </si>
  <si>
    <t xml:space="preserve">  市场监督管理事务</t>
  </si>
  <si>
    <t xml:space="preserve">  其他一般公共服务支出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</si>
  <si>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</si>
  <si>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</si>
  <si>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</si>
  <si>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</si>
  <si>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</si>
  <si>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</si>
  <si>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</t>
  </si>
  <si>
    <t xml:space="preserve">  边界勘界联检</t>
  </si>
  <si>
    <t xml:space="preserve">  国际发展合作</t>
  </si>
  <si>
    <t xml:space="preserve">  其他外交支出</t>
  </si>
  <si>
    <t xml:space="preserve">  现役部队</t>
  </si>
  <si>
    <t xml:space="preserve">  国防科研事业</t>
  </si>
  <si>
    <t xml:space="preserve">  专项工程</t>
  </si>
  <si>
    <t xml:space="preserve">  国防动员</t>
  </si>
  <si>
    <t xml:space="preserve">  其他国防支出</t>
  </si>
  <si>
    <t xml:space="preserve">  武装警察部队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</si>
  <si>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</si>
  <si>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</si>
  <si>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</si>
  <si>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</si>
  <si>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</si>
  <si>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</si>
  <si>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</si>
  <si>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</si>
  <si>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</si>
  <si>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</si>
  <si>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</si>
  <si>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</si>
  <si>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</si>
  <si>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</si>
  <si>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</si>
  <si>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</si>
  <si>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</si>
  <si>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</si>
  <si>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</si>
  <si>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</si>
  <si>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</si>
  <si>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</si>
  <si>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</si>
  <si>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</si>
  <si>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</si>
  <si>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</si>
  <si>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</si>
  <si>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</si>
  <si>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</si>
  <si>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</si>
  <si>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</si>
  <si>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</si>
  <si>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</si>
  <si>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</si>
  <si>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</si>
  <si>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其他文化旅游体育与传媒支出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</si>
  <si>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</si>
  <si>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</si>
  <si>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</si>
  <si>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</si>
  <si>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</si>
  <si>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</si>
  <si>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</si>
  <si>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</si>
  <si>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</si>
  <si>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</si>
  <si>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</si>
  <si>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</si>
  <si>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</si>
  <si>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</si>
  <si>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</si>
  <si>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</si>
  <si>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</si>
  <si>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</si>
  <si>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</si>
  <si>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财政代缴社会保险费支出</t>
  </si>
  <si>
    <t xml:space="preserve">  其他社会保障和就业支出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</si>
  <si>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</si>
  <si>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</si>
  <si>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</si>
  <si>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</si>
  <si>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</si>
  <si>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</si>
  <si>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</si>
  <si>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</si>
  <si>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</si>
  <si>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</si>
  <si>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</si>
  <si>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</t>
  </si>
  <si>
    <t xml:space="preserve">  其他卫生健康支出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</si>
  <si>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</si>
  <si>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</si>
  <si>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</si>
  <si>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</si>
  <si>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</si>
  <si>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退耕还林还草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</si>
  <si>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</si>
  <si>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</si>
  <si>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</si>
  <si>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</si>
  <si>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</si>
  <si>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</si>
  <si>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</si>
  <si>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</si>
  <si>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</si>
  <si>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</si>
  <si>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</si>
  <si>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</si>
  <si>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</si>
  <si>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</si>
  <si>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</si>
  <si>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 xml:space="preserve">  农业农村</t>
  </si>
  <si>
    <t xml:space="preserve">  林业和草原</t>
  </si>
  <si>
    <t xml:space="preserve">  水利</t>
  </si>
  <si>
    <t xml:space="preserve">  巩固脱贫衔接乡村振兴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</si>
  <si>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</si>
  <si>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</si>
  <si>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</si>
  <si>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</si>
  <si>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 xml:space="preserve">  公路水路运输</t>
  </si>
  <si>
    <t xml:space="preserve">  铁路运输</t>
  </si>
  <si>
    <t xml:space="preserve">  民用航空运输</t>
  </si>
  <si>
    <t xml:space="preserve">  成品油价格改革对交通运输的补贴</t>
  </si>
  <si>
    <t xml:space="preserve">  邮政业支出</t>
  </si>
  <si>
    <t xml:space="preserve">  车辆购置税支出</t>
  </si>
  <si>
    <t xml:space="preserve">  其他交通运输支出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</si>
  <si>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</si>
  <si>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</si>
  <si>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</si>
  <si>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</si>
  <si>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</si>
  <si>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</si>
  <si>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其他资源勘探工业信息等支出</t>
  </si>
  <si>
    <t xml:space="preserve">  商业流通事务</t>
  </si>
  <si>
    <t xml:space="preserve">  涉外发展服务支出</t>
  </si>
  <si>
    <t xml:space="preserve">  其他商业服务业等支出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</si>
  <si>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</si>
  <si>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</si>
  <si>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</si>
  <si>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</si>
  <si>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</si>
  <si>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</si>
  <si>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</si>
  <si>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</si>
  <si>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</si>
  <si>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</si>
  <si>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农业</t>
  </si>
  <si>
    <t xml:space="preserve">  交通运输</t>
  </si>
  <si>
    <t xml:space="preserve">  住房保障</t>
  </si>
  <si>
    <t xml:space="preserve">  其他支出</t>
  </si>
  <si>
    <t xml:space="preserve">  自然资源事务</t>
  </si>
  <si>
    <t xml:space="preserve">  气象事务</t>
  </si>
  <si>
    <t xml:space="preserve">  其他自然资源海洋气象等支出</t>
  </si>
  <si>
    <t xml:space="preserve">  保障性安居工程支出</t>
  </si>
  <si>
    <t xml:space="preserve">  住房改革支出</t>
  </si>
  <si>
    <t xml:space="preserve">  城乡社区住宅</t>
  </si>
  <si>
    <t xml:space="preserve">  粮油物资事务</t>
  </si>
  <si>
    <t xml:space="preserve">  能源储备</t>
  </si>
  <si>
    <t xml:space="preserve">  粮油储备</t>
  </si>
  <si>
    <t xml:space="preserve">  重要商品储备</t>
  </si>
  <si>
    <t xml:space="preserve">  应急管理事务</t>
  </si>
  <si>
    <t xml:space="preserve">  消防事务</t>
  </si>
  <si>
    <t xml:space="preserve">  森林消防事务</t>
  </si>
  <si>
    <t xml:space="preserve">  煤矿安全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</si>
  <si>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</si>
  <si>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</si>
  <si>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</si>
  <si>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</si>
  <si>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 xml:space="preserve">  年初预留</t>
  </si>
  <si>
    <t xml:space="preserve">  其他支出(款)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</si>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</sst>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 ;[Red]\-0\ "/>
    <numFmt numFmtId="179" formatCode="0.0_ "/>
    <numFmt numFmtId="180" formatCode="0;_㐀"/>
  </numFmts>
  <fonts count="47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sz val="12"/>
      <name val="Arial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24"/>
      <color indexed="8"/>
      <name val="宋体"/>
      <charset val="134"/>
    </font>
    <font>
      <sz val="8"/>
      <name val="宋体"/>
      <charset val="134"/>
    </font>
    <font>
      <b/>
      <sz val="22"/>
      <color indexed="8"/>
      <name val="宋体"/>
      <charset val="134"/>
    </font>
    <font>
      <sz val="14"/>
      <name val="宋体"/>
      <charset val="134"/>
    </font>
    <font>
      <b/>
      <sz val="12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Courier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1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5" fillId="0" borderId="0"/>
    <xf numFmtId="0" fontId="23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2" borderId="14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2" fontId="36" fillId="0" borderId="0"/>
    <xf numFmtId="0" fontId="27" fillId="1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7" fillId="16" borderId="17" applyNumberFormat="0" applyAlignment="0" applyProtection="0">
      <alignment vertical="center"/>
    </xf>
    <xf numFmtId="0" fontId="38" fillId="16" borderId="13" applyNumberFormat="0" applyAlignment="0" applyProtection="0">
      <alignment vertical="center"/>
    </xf>
    <xf numFmtId="0" fontId="39" fillId="17" borderId="18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>
      <alignment vertical="center"/>
    </xf>
  </cellStyleXfs>
  <cellXfs count="160">
    <xf numFmtId="0" fontId="0" fillId="0" borderId="0" xfId="0" applyAlignment="1">
      <alignment vertical="center"/>
    </xf>
    <xf numFmtId="0" fontId="1" fillId="0" borderId="0" xfId="52" applyFont="1"/>
    <xf numFmtId="0" fontId="2" fillId="0" borderId="0" xfId="52" applyFont="1"/>
    <xf numFmtId="0" fontId="1" fillId="0" borderId="0" xfId="52" applyFont="1" applyAlignment="1">
      <alignment horizontal="center"/>
    </xf>
    <xf numFmtId="0" fontId="3" fillId="0" borderId="0" xfId="52" applyFont="1" applyAlignment="1">
      <alignment horizontal="center"/>
    </xf>
    <xf numFmtId="0" fontId="2" fillId="0" borderId="1" xfId="52" applyFont="1" applyBorder="1" applyAlignment="1">
      <alignment horizontal="center" vertical="center" wrapText="1"/>
    </xf>
    <xf numFmtId="0" fontId="4" fillId="0" borderId="2" xfId="52" applyFont="1" applyBorder="1" applyAlignment="1">
      <alignment horizontal="center" vertical="center" wrapText="1"/>
    </xf>
    <xf numFmtId="0" fontId="4" fillId="0" borderId="3" xfId="52" applyFont="1" applyBorder="1" applyAlignment="1">
      <alignment horizontal="center"/>
    </xf>
    <xf numFmtId="0" fontId="4" fillId="0" borderId="0" xfId="52" applyFont="1" applyBorder="1" applyAlignment="1">
      <alignment horizontal="center"/>
    </xf>
    <xf numFmtId="0" fontId="5" fillId="0" borderId="4" xfId="52" applyFont="1" applyBorder="1" applyAlignment="1">
      <alignment horizontal="center" vertical="center" wrapText="1"/>
    </xf>
    <xf numFmtId="0" fontId="4" fillId="0" borderId="5" xfId="52" applyFont="1" applyBorder="1" applyAlignment="1">
      <alignment horizontal="center" vertical="center" wrapText="1"/>
    </xf>
    <xf numFmtId="0" fontId="2" fillId="0" borderId="3" xfId="52" applyFont="1" applyBorder="1" applyAlignment="1">
      <alignment horizontal="center"/>
    </xf>
    <xf numFmtId="0" fontId="2" fillId="0" borderId="0" xfId="52" applyFont="1" applyBorder="1" applyAlignment="1">
      <alignment horizontal="center"/>
    </xf>
    <xf numFmtId="0" fontId="6" fillId="0" borderId="3" xfId="53" applyFont="1" applyBorder="1"/>
    <xf numFmtId="176" fontId="6" fillId="0" borderId="6" xfId="53" applyNumberFormat="1" applyFont="1" applyBorder="1" applyAlignment="1">
      <alignment horizontal="center"/>
    </xf>
    <xf numFmtId="176" fontId="6" fillId="0" borderId="6" xfId="52" applyNumberFormat="1" applyFont="1" applyBorder="1" applyAlignment="1">
      <alignment horizontal="center"/>
    </xf>
    <xf numFmtId="177" fontId="6" fillId="0" borderId="3" xfId="52" applyNumberFormat="1" applyFont="1" applyBorder="1" applyAlignment="1">
      <alignment horizontal="center"/>
    </xf>
    <xf numFmtId="176" fontId="6" fillId="0" borderId="7" xfId="52" applyNumberFormat="1" applyFont="1" applyBorder="1" applyAlignment="1">
      <alignment horizontal="center"/>
    </xf>
    <xf numFmtId="0" fontId="7" fillId="0" borderId="3" xfId="53" applyFont="1" applyBorder="1"/>
    <xf numFmtId="176" fontId="7" fillId="0" borderId="6" xfId="53" applyNumberFormat="1" applyFont="1" applyBorder="1" applyAlignment="1">
      <alignment horizontal="center"/>
    </xf>
    <xf numFmtId="176" fontId="7" fillId="0" borderId="6" xfId="52" applyNumberFormat="1" applyFont="1" applyBorder="1" applyAlignment="1">
      <alignment horizontal="center"/>
    </xf>
    <xf numFmtId="177" fontId="7" fillId="0" borderId="3" xfId="52" applyNumberFormat="1" applyFont="1" applyBorder="1" applyAlignment="1">
      <alignment horizontal="center"/>
    </xf>
    <xf numFmtId="176" fontId="7" fillId="0" borderId="7" xfId="52" applyNumberFormat="1" applyFont="1" applyBorder="1" applyAlignment="1">
      <alignment horizontal="center"/>
    </xf>
    <xf numFmtId="0" fontId="7" fillId="0" borderId="7" xfId="52" applyNumberFormat="1" applyFont="1" applyBorder="1" applyAlignment="1">
      <alignment horizontal="center"/>
    </xf>
    <xf numFmtId="0" fontId="7" fillId="0" borderId="7" xfId="52" applyFont="1" applyBorder="1" applyAlignment="1">
      <alignment horizontal="center"/>
    </xf>
    <xf numFmtId="0" fontId="1" fillId="0" borderId="7" xfId="52" applyFont="1" applyBorder="1"/>
    <xf numFmtId="0" fontId="7" fillId="0" borderId="3" xfId="53" applyFont="1" applyBorder="1" applyAlignment="1">
      <alignment vertical="center" wrapText="1"/>
    </xf>
    <xf numFmtId="0" fontId="1" fillId="0" borderId="0" xfId="52" applyFont="1" applyBorder="1"/>
    <xf numFmtId="0" fontId="7" fillId="0" borderId="3" xfId="53" applyFont="1" applyFill="1" applyBorder="1" applyAlignment="1">
      <alignment horizontal="left" vertical="center"/>
    </xf>
    <xf numFmtId="176" fontId="7" fillId="0" borderId="3" xfId="53" applyNumberFormat="1" applyFont="1" applyBorder="1" applyAlignment="1">
      <alignment horizontal="center"/>
    </xf>
    <xf numFmtId="0" fontId="1" fillId="0" borderId="0" xfId="52" applyNumberFormat="1" applyFont="1" applyAlignment="1">
      <alignment horizontal="center"/>
    </xf>
    <xf numFmtId="176" fontId="1" fillId="0" borderId="0" xfId="52" applyNumberFormat="1" applyFont="1"/>
    <xf numFmtId="176" fontId="7" fillId="0" borderId="3" xfId="52" applyNumberFormat="1" applyFont="1" applyBorder="1" applyAlignment="1">
      <alignment horizontal="center"/>
    </xf>
    <xf numFmtId="0" fontId="1" fillId="2" borderId="6" xfId="52" applyFont="1" applyFill="1" applyBorder="1" applyAlignment="1"/>
    <xf numFmtId="0" fontId="1" fillId="2" borderId="3" xfId="52" applyFont="1" applyFill="1" applyBorder="1"/>
    <xf numFmtId="58" fontId="1" fillId="2" borderId="3" xfId="52" applyNumberFormat="1" applyFont="1" applyFill="1" applyBorder="1"/>
    <xf numFmtId="0" fontId="1" fillId="0" borderId="3" xfId="52" applyFont="1" applyBorder="1" applyAlignment="1">
      <alignment horizontal="center"/>
    </xf>
    <xf numFmtId="178" fontId="0" fillId="0" borderId="3" xfId="52" applyNumberFormat="1" applyFont="1" applyBorder="1" applyAlignment="1">
      <alignment horizontal="center"/>
    </xf>
    <xf numFmtId="0" fontId="1" fillId="3" borderId="3" xfId="52" applyFont="1" applyFill="1" applyBorder="1"/>
    <xf numFmtId="0" fontId="8" fillId="0" borderId="3" xfId="52" applyFont="1" applyBorder="1" applyAlignment="1">
      <alignment horizontal="center"/>
    </xf>
    <xf numFmtId="179" fontId="1" fillId="0" borderId="3" xfId="52" applyNumberFormat="1" applyFont="1" applyBorder="1" applyAlignment="1">
      <alignment horizontal="center"/>
    </xf>
    <xf numFmtId="10" fontId="6" fillId="0" borderId="3" xfId="52" applyNumberFormat="1" applyFont="1" applyBorder="1" applyAlignment="1">
      <alignment horizontal="center"/>
    </xf>
    <xf numFmtId="10" fontId="7" fillId="0" borderId="3" xfId="52" applyNumberFormat="1" applyFont="1" applyBorder="1" applyAlignment="1">
      <alignment horizontal="center"/>
    </xf>
    <xf numFmtId="0" fontId="0" fillId="0" borderId="3" xfId="52" applyFont="1" applyBorder="1" applyAlignment="1">
      <alignment horizontal="center" vertical="center"/>
    </xf>
    <xf numFmtId="1" fontId="0" fillId="0" borderId="3" xfId="52" applyNumberFormat="1" applyFont="1" applyBorder="1" applyAlignment="1">
      <alignment horizontal="center" vertical="center"/>
    </xf>
    <xf numFmtId="176" fontId="0" fillId="0" borderId="3" xfId="52" applyNumberFormat="1" applyFont="1" applyBorder="1" applyAlignment="1">
      <alignment horizontal="center" vertical="center" wrapText="1"/>
    </xf>
    <xf numFmtId="176" fontId="9" fillId="0" borderId="3" xfId="52" applyNumberFormat="1" applyFont="1" applyBorder="1" applyAlignment="1" applyProtection="1">
      <alignment horizontal="center" vertical="center"/>
    </xf>
    <xf numFmtId="0" fontId="10" fillId="0" borderId="0" xfId="52" applyFont="1" applyAlignment="1">
      <alignment horizontal="center" vertical="center"/>
    </xf>
    <xf numFmtId="0" fontId="11" fillId="0" borderId="0" xfId="52" applyFont="1"/>
    <xf numFmtId="2" fontId="1" fillId="0" borderId="0" xfId="52" applyNumberFormat="1" applyFont="1"/>
    <xf numFmtId="0" fontId="11" fillId="0" borderId="3" xfId="52" applyFont="1" applyBorder="1" applyAlignment="1">
      <alignment horizontal="center" vertical="center"/>
    </xf>
    <xf numFmtId="0" fontId="8" fillId="0" borderId="3" xfId="52" applyFont="1" applyBorder="1" applyAlignment="1">
      <alignment horizontal="center" vertical="center"/>
    </xf>
    <xf numFmtId="0" fontId="2" fillId="0" borderId="3" xfId="52" applyFont="1" applyFill="1" applyBorder="1" applyAlignment="1">
      <alignment horizontal="center" vertical="center" wrapText="1"/>
    </xf>
    <xf numFmtId="0" fontId="2" fillId="4" borderId="3" xfId="52" applyFont="1" applyFill="1" applyBorder="1" applyAlignment="1" applyProtection="1">
      <alignment horizontal="center" vertical="center" wrapText="1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8" fillId="0" borderId="3" xfId="52" applyFont="1" applyBorder="1" applyAlignment="1">
      <alignment horizontal="left" vertical="center" wrapText="1"/>
    </xf>
    <xf numFmtId="1" fontId="8" fillId="0" borderId="3" xfId="52" applyNumberFormat="1" applyFont="1" applyBorder="1" applyAlignment="1">
      <alignment horizontal="center" vertical="center"/>
    </xf>
    <xf numFmtId="2" fontId="0" fillId="2" borderId="3" xfId="23" applyFont="1" applyFill="1" applyBorder="1" applyAlignment="1" applyProtection="1">
      <alignment horizontal="left" vertical="center"/>
    </xf>
    <xf numFmtId="1" fontId="0" fillId="2" borderId="3" xfId="52" applyNumberFormat="1" applyFont="1" applyFill="1" applyBorder="1" applyAlignment="1">
      <alignment horizontal="center" vertical="center"/>
    </xf>
    <xf numFmtId="2" fontId="7" fillId="0" borderId="3" xfId="23" applyFont="1" applyBorder="1" applyAlignment="1" applyProtection="1">
      <alignment horizontal="left" vertical="center"/>
    </xf>
    <xf numFmtId="1" fontId="0" fillId="5" borderId="3" xfId="52" applyNumberFormat="1" applyFont="1" applyFill="1" applyBorder="1" applyAlignment="1">
      <alignment horizontal="center" vertical="center"/>
    </xf>
    <xf numFmtId="1" fontId="0" fillId="0" borderId="3" xfId="52" applyNumberFormat="1" applyFont="1" applyFill="1" applyBorder="1" applyAlignment="1">
      <alignment horizontal="center" vertical="center"/>
    </xf>
    <xf numFmtId="2" fontId="0" fillId="0" borderId="3" xfId="23" applyFont="1" applyBorder="1" applyAlignment="1" applyProtection="1">
      <alignment horizontal="left" vertical="center"/>
    </xf>
    <xf numFmtId="2" fontId="0" fillId="0" borderId="3" xfId="23" applyFont="1" applyFill="1" applyBorder="1" applyAlignment="1" applyProtection="1">
      <alignment horizontal="left" vertical="center"/>
    </xf>
    <xf numFmtId="2" fontId="0" fillId="0" borderId="3" xfId="23" applyFont="1" applyFill="1" applyBorder="1" applyAlignment="1" applyProtection="1">
      <alignment horizontal="left" vertical="center" wrapText="1"/>
    </xf>
    <xf numFmtId="4" fontId="7" fillId="0" borderId="3" xfId="0" applyNumberFormat="1" applyFont="1" applyFill="1" applyBorder="1" applyAlignment="1" applyProtection="1">
      <alignment horizontal="center" vertical="center"/>
    </xf>
    <xf numFmtId="0" fontId="0" fillId="0" borderId="3" xfId="23" applyNumberFormat="1" applyFont="1" applyFill="1" applyBorder="1" applyAlignment="1" applyProtection="1">
      <alignment horizontal="left" vertical="center"/>
    </xf>
    <xf numFmtId="0" fontId="11" fillId="0" borderId="3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vertical="center" wrapText="1"/>
    </xf>
    <xf numFmtId="1" fontId="11" fillId="0" borderId="3" xfId="52" applyNumberFormat="1" applyFont="1" applyFill="1" applyBorder="1" applyAlignment="1">
      <alignment horizontal="center" vertical="center"/>
    </xf>
    <xf numFmtId="0" fontId="2" fillId="0" borderId="3" xfId="52" applyFont="1" applyBorder="1"/>
    <xf numFmtId="0" fontId="12" fillId="0" borderId="3" xfId="52" applyFont="1" applyBorder="1" applyAlignment="1">
      <alignment vertical="center" wrapText="1"/>
    </xf>
    <xf numFmtId="0" fontId="2" fillId="0" borderId="3" xfId="52" applyFont="1" applyBorder="1" applyAlignment="1">
      <alignment vertical="center" wrapText="1"/>
    </xf>
    <xf numFmtId="0" fontId="2" fillId="2" borderId="3" xfId="52" applyFont="1" applyFill="1" applyBorder="1" applyAlignment="1">
      <alignment vertical="center" wrapText="1"/>
    </xf>
    <xf numFmtId="0" fontId="2" fillId="0" borderId="3" xfId="52" applyFont="1" applyBorder="1" applyAlignment="1">
      <alignment wrapText="1"/>
    </xf>
    <xf numFmtId="2" fontId="1" fillId="2" borderId="3" xfId="52" applyNumberFormat="1" applyFont="1" applyFill="1" applyBorder="1" applyAlignment="1">
      <alignment horizontal="center" vertical="center"/>
    </xf>
    <xf numFmtId="2" fontId="2" fillId="0" borderId="3" xfId="52" applyNumberFormat="1" applyFont="1" applyBorder="1" applyAlignment="1">
      <alignment horizontal="left" vertical="center"/>
    </xf>
    <xf numFmtId="0" fontId="2" fillId="2" borderId="3" xfId="52" applyFont="1" applyFill="1" applyBorder="1"/>
    <xf numFmtId="0" fontId="0" fillId="2" borderId="3" xfId="23" applyNumberFormat="1" applyFont="1" applyFill="1" applyBorder="1" applyAlignment="1" applyProtection="1">
      <alignment horizontal="center" vertical="center"/>
    </xf>
    <xf numFmtId="2" fontId="0" fillId="0" borderId="3" xfId="23" applyFont="1" applyBorder="1" applyAlignment="1" applyProtection="1">
      <alignment vertical="center"/>
    </xf>
    <xf numFmtId="0" fontId="7" fillId="0" borderId="3" xfId="52" applyFont="1" applyFill="1" applyBorder="1" applyAlignment="1">
      <alignment vertical="center" wrapText="1"/>
    </xf>
    <xf numFmtId="0" fontId="1" fillId="0" borderId="0" xfId="52" applyFont="1" applyFill="1"/>
    <xf numFmtId="0" fontId="1" fillId="0" borderId="0" xfId="52" applyFont="1" applyFill="1" applyAlignment="1">
      <alignment horizontal="center"/>
    </xf>
    <xf numFmtId="1" fontId="1" fillId="0" borderId="0" xfId="52" applyNumberFormat="1" applyFont="1" applyFill="1"/>
    <xf numFmtId="0" fontId="2" fillId="0" borderId="3" xfId="52" applyFont="1" applyFill="1" applyBorder="1" applyAlignment="1">
      <alignment vertical="center" wrapText="1"/>
    </xf>
    <xf numFmtId="0" fontId="1" fillId="0" borderId="3" xfId="52" applyFont="1" applyBorder="1"/>
    <xf numFmtId="0" fontId="0" fillId="0" borderId="3" xfId="52" applyFont="1" applyBorder="1"/>
    <xf numFmtId="1" fontId="13" fillId="0" borderId="0" xfId="52" applyNumberFormat="1" applyFont="1" applyAlignment="1" applyProtection="1">
      <alignment horizontal="center" vertical="center"/>
    </xf>
    <xf numFmtId="0" fontId="0" fillId="0" borderId="1" xfId="52" applyFont="1" applyBorder="1" applyAlignment="1">
      <alignment horizontal="center" vertical="center"/>
    </xf>
    <xf numFmtId="0" fontId="0" fillId="0" borderId="1" xfId="52" applyFont="1" applyBorder="1" applyAlignment="1">
      <alignment horizontal="center" vertical="center" wrapText="1"/>
    </xf>
    <xf numFmtId="176" fontId="8" fillId="0" borderId="3" xfId="52" applyNumberFormat="1" applyFont="1" applyBorder="1" applyAlignment="1">
      <alignment horizontal="center" vertical="center"/>
    </xf>
    <xf numFmtId="176" fontId="0" fillId="0" borderId="3" xfId="52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4" xfId="52" applyNumberFormat="1" applyFont="1" applyBorder="1" applyAlignment="1" applyProtection="1">
      <alignment horizontal="left" vertical="center"/>
      <protection locked="0"/>
    </xf>
    <xf numFmtId="176" fontId="7" fillId="0" borderId="5" xfId="52" applyNumberFormat="1" applyFont="1" applyBorder="1" applyAlignment="1" applyProtection="1">
      <alignment horizontal="left" vertical="center"/>
      <protection locked="0"/>
    </xf>
    <xf numFmtId="2" fontId="7" fillId="0" borderId="6" xfId="23" applyFont="1" applyBorder="1" applyAlignment="1" applyProtection="1">
      <alignment horizontal="left" vertical="center"/>
    </xf>
    <xf numFmtId="2" fontId="0" fillId="0" borderId="6" xfId="23" applyFont="1" applyBorder="1" applyAlignment="1" applyProtection="1">
      <alignment horizontal="left" vertical="center"/>
    </xf>
    <xf numFmtId="0" fontId="0" fillId="0" borderId="0" xfId="0" applyFont="1" applyAlignment="1">
      <alignment vertical="center"/>
    </xf>
    <xf numFmtId="10" fontId="0" fillId="0" borderId="0" xfId="0" applyNumberFormat="1" applyAlignment="1">
      <alignment vertical="center"/>
    </xf>
    <xf numFmtId="1" fontId="14" fillId="0" borderId="0" xfId="52" applyNumberFormat="1" applyFont="1" applyAlignment="1" applyProtection="1">
      <alignment vertical="center"/>
    </xf>
    <xf numFmtId="0" fontId="0" fillId="0" borderId="0" xfId="52" applyFont="1" applyAlignment="1">
      <alignment horizontal="center" vertical="center"/>
    </xf>
    <xf numFmtId="0" fontId="0" fillId="0" borderId="3" xfId="52" applyFont="1" applyBorder="1" applyAlignment="1">
      <alignment vertical="center"/>
    </xf>
    <xf numFmtId="0" fontId="0" fillId="0" borderId="0" xfId="52" applyFont="1" applyAlignment="1">
      <alignment vertical="center"/>
    </xf>
    <xf numFmtId="0" fontId="2" fillId="0" borderId="0" xfId="52" applyFont="1" applyAlignment="1">
      <alignment vertical="center" wrapText="1"/>
    </xf>
    <xf numFmtId="0" fontId="15" fillId="0" borderId="3" xfId="52" applyFont="1" applyBorder="1" applyAlignment="1">
      <alignment vertical="center"/>
    </xf>
    <xf numFmtId="0" fontId="15" fillId="0" borderId="0" xfId="52" applyFont="1" applyAlignment="1">
      <alignment vertical="center"/>
    </xf>
    <xf numFmtId="1" fontId="16" fillId="0" borderId="0" xfId="52" applyNumberFormat="1" applyFont="1" applyAlignment="1" applyProtection="1">
      <alignment horizontal="center" vertical="center"/>
    </xf>
    <xf numFmtId="0" fontId="17" fillId="0" borderId="0" xfId="52" applyFont="1" applyAlignment="1"/>
    <xf numFmtId="0" fontId="18" fillId="0" borderId="3" xfId="52" applyFont="1" applyBorder="1" applyAlignment="1" applyProtection="1">
      <alignment horizontal="center" vertical="center"/>
    </xf>
    <xf numFmtId="0" fontId="6" fillId="0" borderId="3" xfId="52" applyFont="1" applyBorder="1" applyAlignment="1">
      <alignment horizontal="center" vertical="center" wrapText="1"/>
    </xf>
    <xf numFmtId="0" fontId="19" fillId="0" borderId="3" xfId="52" applyFont="1" applyBorder="1" applyAlignment="1" applyProtection="1">
      <alignment horizontal="center" vertical="center" wrapText="1"/>
    </xf>
    <xf numFmtId="176" fontId="8" fillId="0" borderId="3" xfId="52" applyNumberFormat="1" applyFont="1" applyBorder="1" applyAlignment="1">
      <alignment horizontal="center" vertical="center" wrapText="1"/>
    </xf>
    <xf numFmtId="0" fontId="8" fillId="0" borderId="3" xfId="52" applyFont="1" applyBorder="1" applyAlignment="1">
      <alignment horizontal="center" vertical="center" wrapText="1"/>
    </xf>
    <xf numFmtId="0" fontId="18" fillId="6" borderId="6" xfId="52" applyFont="1" applyFill="1" applyBorder="1" applyAlignment="1" applyProtection="1">
      <alignment horizontal="center" vertical="center"/>
    </xf>
    <xf numFmtId="0" fontId="8" fillId="4" borderId="3" xfId="52" applyFont="1" applyFill="1" applyBorder="1" applyAlignment="1">
      <alignment vertical="center"/>
    </xf>
    <xf numFmtId="0" fontId="6" fillId="0" borderId="3" xfId="52" applyFont="1" applyBorder="1" applyAlignment="1">
      <alignment horizontal="left" vertical="center" wrapText="1"/>
    </xf>
    <xf numFmtId="0" fontId="20" fillId="0" borderId="3" xfId="52" applyFont="1" applyBorder="1" applyProtection="1"/>
    <xf numFmtId="0" fontId="0" fillId="4" borderId="3" xfId="52" applyFont="1" applyFill="1" applyBorder="1" applyAlignment="1">
      <alignment vertical="center"/>
    </xf>
    <xf numFmtId="1" fontId="7" fillId="0" borderId="3" xfId="6" applyNumberFormat="1" applyFont="1" applyFill="1" applyBorder="1" applyAlignment="1">
      <alignment horizontal="left" vertical="center"/>
    </xf>
    <xf numFmtId="2" fontId="7" fillId="0" borderId="3" xfId="23" applyFont="1" applyFill="1" applyBorder="1" applyAlignment="1" applyProtection="1">
      <alignment horizontal="left" vertical="center"/>
    </xf>
    <xf numFmtId="1" fontId="6" fillId="0" borderId="3" xfId="6" applyNumberFormat="1" applyFont="1" applyFill="1" applyBorder="1" applyAlignment="1">
      <alignment horizontal="left" vertical="center"/>
    </xf>
    <xf numFmtId="0" fontId="0" fillId="0" borderId="3" xfId="52" applyFont="1" applyFill="1" applyBorder="1" applyAlignment="1">
      <alignment vertical="center"/>
    </xf>
    <xf numFmtId="0" fontId="20" fillId="0" borderId="3" xfId="52" applyFont="1" applyBorder="1" applyAlignment="1" applyProtection="1">
      <alignment horizontal="center" vertical="center"/>
    </xf>
    <xf numFmtId="176" fontId="7" fillId="0" borderId="4" xfId="52" applyNumberFormat="1" applyFont="1" applyBorder="1" applyAlignment="1" applyProtection="1">
      <alignment horizontal="left" vertical="center"/>
      <protection locked="0"/>
    </xf>
    <xf numFmtId="0" fontId="0" fillId="0" borderId="3" xfId="52" applyNumberFormat="1" applyFont="1" applyBorder="1" applyAlignment="1">
      <alignment horizontal="center" vertical="center"/>
    </xf>
    <xf numFmtId="0" fontId="6" fillId="0" borderId="3" xfId="52" applyFont="1" applyBorder="1" applyAlignment="1">
      <alignment vertical="center"/>
    </xf>
    <xf numFmtId="0" fontId="6" fillId="0" borderId="3" xfId="52" applyFont="1" applyFill="1" applyBorder="1" applyAlignment="1">
      <alignment vertical="center"/>
    </xf>
    <xf numFmtId="0" fontId="7" fillId="0" borderId="3" xfId="52" applyFont="1" applyBorder="1" applyAlignment="1">
      <alignment vertical="center"/>
    </xf>
    <xf numFmtId="0" fontId="8" fillId="0" borderId="3" xfId="52" applyFont="1" applyBorder="1" applyAlignment="1">
      <alignment vertical="center"/>
    </xf>
    <xf numFmtId="176" fontId="18" fillId="0" borderId="3" xfId="52" applyNumberFormat="1" applyFont="1" applyBorder="1" applyAlignment="1" applyProtection="1">
      <alignment horizontal="center" vertical="center"/>
    </xf>
    <xf numFmtId="176" fontId="8" fillId="0" borderId="3" xfId="52" applyNumberFormat="1" applyFont="1" applyBorder="1" applyAlignment="1">
      <alignment vertical="center"/>
    </xf>
    <xf numFmtId="0" fontId="8" fillId="0" borderId="3" xfId="52" applyFont="1" applyBorder="1" applyAlignment="1">
      <alignment horizontal="left" vertical="center"/>
    </xf>
    <xf numFmtId="176" fontId="8" fillId="0" borderId="6" xfId="52" applyNumberFormat="1" applyFont="1" applyBorder="1" applyAlignment="1">
      <alignment vertical="center"/>
    </xf>
    <xf numFmtId="2" fontId="6" fillId="0" borderId="6" xfId="23" applyFont="1" applyBorder="1" applyAlignment="1" applyProtection="1">
      <alignment horizontal="left" vertical="center"/>
    </xf>
    <xf numFmtId="176" fontId="0" fillId="0" borderId="6" xfId="52" applyNumberFormat="1" applyFont="1" applyBorder="1" applyAlignment="1">
      <alignment horizontal="center" vertical="center"/>
    </xf>
    <xf numFmtId="1" fontId="8" fillId="2" borderId="3" xfId="6" applyNumberFormat="1" applyFont="1" applyFill="1" applyBorder="1" applyAlignment="1">
      <alignment vertical="center"/>
    </xf>
    <xf numFmtId="1" fontId="0" fillId="0" borderId="3" xfId="6" applyNumberFormat="1" applyFont="1" applyFill="1" applyBorder="1" applyAlignment="1">
      <alignment horizontal="left" vertical="center"/>
    </xf>
    <xf numFmtId="0" fontId="7" fillId="0" borderId="3" xfId="52" applyFont="1" applyFill="1" applyBorder="1" applyAlignment="1">
      <alignment horizontal="left" vertical="center"/>
    </xf>
    <xf numFmtId="176" fontId="0" fillId="0" borderId="6" xfId="52" applyNumberFormat="1" applyFont="1" applyBorder="1" applyAlignment="1">
      <alignment horizontal="center" vertical="center" wrapText="1"/>
    </xf>
    <xf numFmtId="0" fontId="18" fillId="0" borderId="3" xfId="52" applyFont="1" applyBorder="1" applyAlignment="1" applyProtection="1">
      <alignment horizontal="left" vertical="center"/>
    </xf>
    <xf numFmtId="1" fontId="6" fillId="0" borderId="7" xfId="6" applyNumberFormat="1" applyFont="1" applyFill="1" applyBorder="1" applyAlignment="1">
      <alignment vertical="center" wrapText="1"/>
    </xf>
    <xf numFmtId="180" fontId="0" fillId="0" borderId="3" xfId="52" applyNumberFormat="1" applyFont="1" applyBorder="1" applyAlignment="1">
      <alignment horizontal="center" vertical="center"/>
    </xf>
    <xf numFmtId="1" fontId="6" fillId="0" borderId="5" xfId="6" applyNumberFormat="1" applyFont="1" applyFill="1" applyBorder="1" applyAlignment="1">
      <alignment vertical="center" wrapText="1"/>
    </xf>
    <xf numFmtId="1" fontId="6" fillId="0" borderId="0" xfId="6" applyNumberFormat="1" applyFont="1" applyFill="1" applyBorder="1" applyAlignment="1">
      <alignment horizontal="left" vertical="center"/>
    </xf>
    <xf numFmtId="0" fontId="17" fillId="0" borderId="0" xfId="52" applyFont="1" applyBorder="1" applyAlignment="1">
      <alignment horizontal="left" wrapText="1"/>
    </xf>
    <xf numFmtId="0" fontId="18" fillId="6" borderId="8" xfId="52" applyFont="1" applyFill="1" applyBorder="1" applyAlignment="1" applyProtection="1">
      <alignment horizontal="center" vertical="center"/>
    </xf>
    <xf numFmtId="0" fontId="18" fillId="6" borderId="9" xfId="52" applyFont="1" applyFill="1" applyBorder="1" applyAlignment="1" applyProtection="1">
      <alignment horizontal="center" vertical="center"/>
    </xf>
    <xf numFmtId="0" fontId="4" fillId="0" borderId="3" xfId="52" applyFont="1" applyBorder="1" applyAlignment="1">
      <alignment horizontal="center" vertical="center"/>
    </xf>
    <xf numFmtId="176" fontId="7" fillId="0" borderId="3" xfId="52" applyNumberFormat="1" applyFont="1" applyBorder="1" applyAlignment="1">
      <alignment horizontal="center" vertical="center"/>
    </xf>
    <xf numFmtId="176" fontId="8" fillId="0" borderId="3" xfId="52" applyNumberFormat="1" applyFont="1" applyFill="1" applyBorder="1" applyAlignment="1">
      <alignment horizontal="center" vertical="center"/>
    </xf>
    <xf numFmtId="176" fontId="6" fillId="0" borderId="3" xfId="52" applyNumberFormat="1" applyFont="1" applyFill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20" fillId="0" borderId="3" xfId="52" applyFont="1" applyFill="1" applyBorder="1" applyAlignment="1" applyProtection="1">
      <alignment horizontal="center" vertical="center"/>
    </xf>
    <xf numFmtId="0" fontId="21" fillId="0" borderId="3" xfId="52" applyFont="1" applyFill="1" applyBorder="1" applyAlignment="1" applyProtection="1">
      <alignment horizontal="center" vertical="center"/>
    </xf>
    <xf numFmtId="1" fontId="6" fillId="0" borderId="0" xfId="6" applyNumberFormat="1" applyFont="1" applyFill="1" applyBorder="1" applyAlignment="1">
      <alignment vertical="center" wrapText="1"/>
    </xf>
    <xf numFmtId="1" fontId="6" fillId="0" borderId="10" xfId="6" applyNumberFormat="1" applyFont="1" applyFill="1" applyBorder="1" applyAlignment="1">
      <alignment vertical="center" wrapText="1"/>
    </xf>
    <xf numFmtId="1" fontId="6" fillId="0" borderId="11" xfId="6" applyNumberFormat="1" applyFont="1" applyFill="1" applyBorder="1" applyAlignment="1">
      <alignment vertical="center" wrapText="1"/>
    </xf>
    <xf numFmtId="1" fontId="6" fillId="0" borderId="12" xfId="6" applyNumberFormat="1" applyFont="1" applyFill="1" applyBorder="1" applyAlignment="1">
      <alignment vertical="center" wrapText="1"/>
    </xf>
    <xf numFmtId="0" fontId="8" fillId="0" borderId="0" xfId="52" applyFont="1" applyBorder="1" applyAlignment="1">
      <alignment horizontal="center" vertical="center" wrapText="1"/>
    </xf>
    <xf numFmtId="0" fontId="8" fillId="0" borderId="0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2001年收支预计及2002年 市预算收支及增长计划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2017年全市一般公共预算支出计划表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_2005、2006年全国和地方收入表（人代会）无债务收入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?鹎%U龡&amp;H齲_x0001_C铣_x0014__x0007__x0001__x0001_" xfId="52"/>
    <cellStyle name="样式 1" xfId="53"/>
    <cellStyle name="常规_2014年月报表样" xfId="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8"/>
  <sheetViews>
    <sheetView showZeros="0" tabSelected="1" workbookViewId="0">
      <selection activeCell="D10" sqref="D10"/>
    </sheetView>
  </sheetViews>
  <sheetFormatPr defaultColWidth="9" defaultRowHeight="14.25"/>
  <cols>
    <col min="1" max="1" width="33.125" customWidth="1"/>
    <col min="2" max="2" width="9.25" customWidth="1"/>
    <col min="3" max="3" width="9.125" customWidth="1"/>
    <col min="4" max="4" width="30.75" customWidth="1"/>
    <col min="5" max="6" width="8.75" customWidth="1"/>
    <col min="8" max="8" width="28.875" customWidth="1"/>
    <col min="9" max="9" width="9.875" customWidth="1"/>
    <col min="10" max="10" width="9.5" customWidth="1"/>
    <col min="12" max="12" width="9.375"/>
  </cols>
  <sheetData>
    <row r="1" ht="23.25" customHeight="1" spans="1:10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ht="18.75" customHeight="1" spans="1:10">
      <c r="A2" s="107" t="s">
        <v>1</v>
      </c>
      <c r="I2" t="s">
        <v>2</v>
      </c>
      <c r="J2" s="144"/>
    </row>
    <row r="3" ht="33" customHeight="1" spans="1:10">
      <c r="A3" s="108" t="s">
        <v>3</v>
      </c>
      <c r="B3" s="109" t="s">
        <v>4</v>
      </c>
      <c r="C3" s="109" t="s">
        <v>5</v>
      </c>
      <c r="D3" s="108" t="s">
        <v>3</v>
      </c>
      <c r="E3" s="109" t="s">
        <v>6</v>
      </c>
      <c r="F3" s="109" t="s">
        <v>5</v>
      </c>
      <c r="G3" s="110" t="s">
        <v>7</v>
      </c>
      <c r="H3" s="108" t="s">
        <v>8</v>
      </c>
      <c r="I3" s="109" t="s">
        <v>9</v>
      </c>
      <c r="J3" s="109" t="s">
        <v>5</v>
      </c>
    </row>
    <row r="4" ht="15.75" customHeight="1" spans="1:10">
      <c r="A4" s="55" t="s">
        <v>10</v>
      </c>
      <c r="B4" s="111">
        <f>SUM(B5,B25,B28:B31)</f>
        <v>385900</v>
      </c>
      <c r="C4" s="111">
        <f>SUM(C5,C25,C28:C31)</f>
        <v>295669</v>
      </c>
      <c r="D4" s="112" t="s">
        <v>11</v>
      </c>
      <c r="E4" s="90">
        <f>SUM(E5,E27,E30,E31)</f>
        <v>385900</v>
      </c>
      <c r="F4" s="90">
        <f>SUM(F5,F27,F30,F31)</f>
        <v>295669</v>
      </c>
      <c r="G4" s="90">
        <f>SUM(G5,G27)</f>
        <v>40140</v>
      </c>
      <c r="H4" s="113" t="s">
        <v>12</v>
      </c>
      <c r="I4" s="145"/>
      <c r="J4" s="146"/>
    </row>
    <row r="5" ht="15.75" customHeight="1" spans="1:10">
      <c r="A5" s="114" t="s">
        <v>13</v>
      </c>
      <c r="B5" s="111">
        <f>SUM(B6,B15)</f>
        <v>146200</v>
      </c>
      <c r="C5" s="111">
        <f>SUM(C6,C15)</f>
        <v>146200</v>
      </c>
      <c r="D5" s="115" t="s">
        <v>14</v>
      </c>
      <c r="E5" s="90">
        <f>SUM(E6:E9,E10:E16,E17:E25)</f>
        <v>368364</v>
      </c>
      <c r="F5" s="90">
        <f>SUM(F6:F9,F10:F16,F17:F25)</f>
        <v>278667</v>
      </c>
      <c r="G5" s="90">
        <f>SUM(G6:G9,G10:G16,G17:G25)</f>
        <v>40140</v>
      </c>
      <c r="H5" s="108" t="s">
        <v>15</v>
      </c>
      <c r="I5" s="147" t="s">
        <v>16</v>
      </c>
      <c r="J5" s="147" t="s">
        <v>17</v>
      </c>
    </row>
    <row r="6" ht="15.75" customHeight="1" spans="1:10">
      <c r="A6" s="114" t="s">
        <v>18</v>
      </c>
      <c r="B6" s="56">
        <f>SUM(B7,B10:B11,B12:B14)</f>
        <v>101400</v>
      </c>
      <c r="C6" s="56">
        <f>SUM(C7,C10:C11,C12:C14)</f>
        <v>101400</v>
      </c>
      <c r="D6" s="59" t="s">
        <v>19</v>
      </c>
      <c r="E6" s="91">
        <v>41975</v>
      </c>
      <c r="F6" s="91">
        <v>15543</v>
      </c>
      <c r="G6" s="91">
        <v>32</v>
      </c>
      <c r="H6" s="116" t="s">
        <v>20</v>
      </c>
      <c r="I6" s="90">
        <f>SUM(I7:I12)</f>
        <v>229229</v>
      </c>
      <c r="J6" s="90">
        <f>SUM(J7:J12)</f>
        <v>63900</v>
      </c>
    </row>
    <row r="7" ht="15.75" customHeight="1" spans="1:10">
      <c r="A7" s="117" t="s">
        <v>21</v>
      </c>
      <c r="B7" s="44">
        <f>SUM(B8:B9)</f>
        <v>29000</v>
      </c>
      <c r="C7" s="43">
        <f>C8</f>
        <v>29000</v>
      </c>
      <c r="D7" s="59" t="s">
        <v>22</v>
      </c>
      <c r="E7" s="91">
        <v>461</v>
      </c>
      <c r="F7" s="91">
        <v>461</v>
      </c>
      <c r="G7" s="91"/>
      <c r="H7" s="118" t="s">
        <v>23</v>
      </c>
      <c r="I7" s="91">
        <v>225739</v>
      </c>
      <c r="J7" s="148">
        <v>61525</v>
      </c>
    </row>
    <row r="8" ht="15.75" customHeight="1" spans="1:10">
      <c r="A8" s="117" t="s">
        <v>24</v>
      </c>
      <c r="B8" s="43">
        <v>29000</v>
      </c>
      <c r="C8" s="43">
        <v>29000</v>
      </c>
      <c r="D8" s="119" t="s">
        <v>25</v>
      </c>
      <c r="E8" s="91">
        <v>17511</v>
      </c>
      <c r="F8" s="91">
        <v>12152</v>
      </c>
      <c r="G8" s="91">
        <v>950</v>
      </c>
      <c r="H8" s="118" t="s">
        <v>26</v>
      </c>
      <c r="I8" s="124">
        <v>2010</v>
      </c>
      <c r="J8" s="148">
        <v>555</v>
      </c>
    </row>
    <row r="9" ht="15.75" customHeight="1" spans="1:10">
      <c r="A9" s="117" t="s">
        <v>27</v>
      </c>
      <c r="B9" s="44"/>
      <c r="C9" s="44"/>
      <c r="D9" s="119" t="s">
        <v>28</v>
      </c>
      <c r="E9" s="91">
        <v>115235</v>
      </c>
      <c r="F9" s="91">
        <v>108600</v>
      </c>
      <c r="G9" s="91">
        <v>1105</v>
      </c>
      <c r="H9" s="118" t="s">
        <v>29</v>
      </c>
      <c r="I9" s="124">
        <v>1000</v>
      </c>
      <c r="J9" s="148">
        <v>1200</v>
      </c>
    </row>
    <row r="10" ht="15.75" customHeight="1" spans="1:10">
      <c r="A10" s="117" t="s">
        <v>30</v>
      </c>
      <c r="B10" s="44"/>
      <c r="C10" s="44"/>
      <c r="D10" s="119" t="s">
        <v>31</v>
      </c>
      <c r="E10" s="91">
        <v>2840</v>
      </c>
      <c r="F10" s="91">
        <v>2010</v>
      </c>
      <c r="G10" s="91"/>
      <c r="H10" s="118" t="s">
        <v>32</v>
      </c>
      <c r="I10" s="124">
        <v>150</v>
      </c>
      <c r="J10" s="148">
        <v>190</v>
      </c>
    </row>
    <row r="11" ht="15.75" customHeight="1" spans="1:10">
      <c r="A11" s="117" t="s">
        <v>33</v>
      </c>
      <c r="B11" s="44">
        <v>17400</v>
      </c>
      <c r="C11" s="44">
        <v>17400</v>
      </c>
      <c r="D11" s="119" t="s">
        <v>34</v>
      </c>
      <c r="E11" s="91">
        <v>3724</v>
      </c>
      <c r="F11" s="91">
        <v>2842</v>
      </c>
      <c r="G11" s="91">
        <v>120</v>
      </c>
      <c r="H11" s="118" t="s">
        <v>35</v>
      </c>
      <c r="I11" s="91">
        <v>330</v>
      </c>
      <c r="J11" s="148">
        <v>430</v>
      </c>
    </row>
    <row r="12" ht="15.75" customHeight="1" spans="1:10">
      <c r="A12" s="117" t="s">
        <v>36</v>
      </c>
      <c r="B12" s="44">
        <v>7700</v>
      </c>
      <c r="C12" s="44">
        <v>7700</v>
      </c>
      <c r="D12" s="119" t="s">
        <v>37</v>
      </c>
      <c r="E12" s="91">
        <v>36753</v>
      </c>
      <c r="F12" s="91">
        <v>36753</v>
      </c>
      <c r="G12" s="91">
        <v>22360</v>
      </c>
      <c r="H12" s="118"/>
      <c r="I12" s="91"/>
      <c r="J12" s="148"/>
    </row>
    <row r="13" ht="15.75" customHeight="1" spans="1:10">
      <c r="A13" s="117" t="s">
        <v>38</v>
      </c>
      <c r="B13" s="44">
        <v>37800</v>
      </c>
      <c r="C13" s="44">
        <v>37800</v>
      </c>
      <c r="D13" s="119" t="s">
        <v>39</v>
      </c>
      <c r="E13" s="91">
        <v>26604</v>
      </c>
      <c r="F13" s="91">
        <f>710+26604</f>
        <v>27314</v>
      </c>
      <c r="G13" s="91">
        <v>2779</v>
      </c>
      <c r="H13" s="120" t="s">
        <v>40</v>
      </c>
      <c r="I13" s="51"/>
      <c r="J13" s="149">
        <f>55+47+1735+535</f>
        <v>2372</v>
      </c>
    </row>
    <row r="14" ht="15.75" customHeight="1" spans="1:10">
      <c r="A14" s="117" t="s">
        <v>41</v>
      </c>
      <c r="B14" s="43">
        <v>9500</v>
      </c>
      <c r="C14" s="43">
        <v>9500</v>
      </c>
      <c r="D14" s="119" t="s">
        <v>42</v>
      </c>
      <c r="E14" s="91">
        <v>4499</v>
      </c>
      <c r="F14" s="91">
        <v>6136</v>
      </c>
      <c r="G14" s="91">
        <v>199</v>
      </c>
      <c r="H14" s="120" t="s">
        <v>43</v>
      </c>
      <c r="I14" s="51"/>
      <c r="J14" s="149">
        <v>96900</v>
      </c>
    </row>
    <row r="15" ht="15.75" customHeight="1" spans="1:10">
      <c r="A15" s="114" t="s">
        <v>44</v>
      </c>
      <c r="B15" s="56">
        <f>SUM(B16,B18:B21,B22,B24,B23)</f>
        <v>44800</v>
      </c>
      <c r="C15" s="56">
        <f>SUM(C16,C18:C21,C22,C23,C24)</f>
        <v>44800</v>
      </c>
      <c r="D15" s="119" t="s">
        <v>45</v>
      </c>
      <c r="E15" s="91">
        <v>7242</v>
      </c>
      <c r="F15" s="91">
        <v>12492</v>
      </c>
      <c r="G15" s="91">
        <v>335</v>
      </c>
      <c r="H15" s="120" t="s">
        <v>46</v>
      </c>
      <c r="I15" s="90">
        <f>SUM(I6,I13)</f>
        <v>229229</v>
      </c>
      <c r="J15" s="90">
        <f>SUM(J6,J14,J13)</f>
        <v>163172</v>
      </c>
    </row>
    <row r="16" ht="15.75" customHeight="1" spans="1:12">
      <c r="A16" s="121" t="s">
        <v>47</v>
      </c>
      <c r="B16" s="44">
        <v>12700</v>
      </c>
      <c r="C16" s="44">
        <v>12700</v>
      </c>
      <c r="D16" s="119" t="s">
        <v>48</v>
      </c>
      <c r="E16" s="91">
        <v>20126</v>
      </c>
      <c r="F16" s="91">
        <v>20126</v>
      </c>
      <c r="G16" s="91">
        <v>11899</v>
      </c>
      <c r="H16" s="120"/>
      <c r="I16" s="90"/>
      <c r="J16" s="90"/>
      <c r="L16" s="92"/>
    </row>
    <row r="17" ht="15.75" customHeight="1" spans="1:12">
      <c r="A17" s="101" t="s">
        <v>49</v>
      </c>
      <c r="B17" s="44">
        <v>2300</v>
      </c>
      <c r="C17" s="44">
        <v>2300</v>
      </c>
      <c r="D17" s="59" t="s">
        <v>50</v>
      </c>
      <c r="E17" s="91">
        <v>2827</v>
      </c>
      <c r="F17" s="91">
        <v>3827</v>
      </c>
      <c r="G17" s="91"/>
      <c r="H17" s="122" t="s">
        <v>51</v>
      </c>
      <c r="I17" s="147" t="s">
        <v>16</v>
      </c>
      <c r="J17" s="147" t="s">
        <v>17</v>
      </c>
      <c r="L17" s="92"/>
    </row>
    <row r="18" ht="15.75" customHeight="1" spans="1:12">
      <c r="A18" s="101" t="s">
        <v>52</v>
      </c>
      <c r="B18" s="44">
        <v>4900</v>
      </c>
      <c r="C18" s="44">
        <v>4900</v>
      </c>
      <c r="D18" s="59" t="s">
        <v>53</v>
      </c>
      <c r="E18" s="91">
        <v>22293</v>
      </c>
      <c r="F18" s="91">
        <v>1255</v>
      </c>
      <c r="G18" s="91"/>
      <c r="H18" s="116" t="s">
        <v>54</v>
      </c>
      <c r="I18" s="90">
        <f>SUM(I19,I21:I25)</f>
        <v>229229</v>
      </c>
      <c r="J18" s="90">
        <f>SUM(J19,J21:J25)</f>
        <v>163172</v>
      </c>
      <c r="L18" s="92">
        <f>J18-I18</f>
        <v>-66057</v>
      </c>
    </row>
    <row r="19" ht="15.75" customHeight="1" spans="1:12">
      <c r="A19" s="101" t="s">
        <v>55</v>
      </c>
      <c r="B19" s="44">
        <v>2700</v>
      </c>
      <c r="C19" s="44">
        <v>2700</v>
      </c>
      <c r="D19" s="59" t="s">
        <v>56</v>
      </c>
      <c r="E19" s="91">
        <v>405</v>
      </c>
      <c r="F19" s="91">
        <v>112</v>
      </c>
      <c r="G19" s="91">
        <v>112</v>
      </c>
      <c r="H19" s="118" t="s">
        <v>57</v>
      </c>
      <c r="I19" s="91">
        <v>225739</v>
      </c>
      <c r="J19" s="91">
        <v>63260</v>
      </c>
      <c r="L19" s="92">
        <f t="shared" ref="L19:L27" si="0">J19-I19</f>
        <v>-162479</v>
      </c>
    </row>
    <row r="20" ht="15.75" customHeight="1" spans="1:12">
      <c r="A20" s="101" t="s">
        <v>58</v>
      </c>
      <c r="B20" s="44">
        <v>2100</v>
      </c>
      <c r="C20" s="44">
        <v>2100</v>
      </c>
      <c r="D20" s="123" t="s">
        <v>59</v>
      </c>
      <c r="E20" s="91">
        <v>9640</v>
      </c>
      <c r="F20" s="91">
        <v>6113</v>
      </c>
      <c r="G20" s="91">
        <v>249</v>
      </c>
      <c r="H20" s="118" t="s">
        <v>60</v>
      </c>
      <c r="I20" s="91">
        <v>171310</v>
      </c>
      <c r="J20" s="91">
        <v>57028</v>
      </c>
      <c r="L20" s="92">
        <f t="shared" si="0"/>
        <v>-114282</v>
      </c>
    </row>
    <row r="21" ht="15.75" customHeight="1" spans="1:12">
      <c r="A21" s="101" t="s">
        <v>61</v>
      </c>
      <c r="B21" s="44">
        <v>3300</v>
      </c>
      <c r="C21" s="44">
        <v>3300</v>
      </c>
      <c r="D21" s="123" t="s">
        <v>62</v>
      </c>
      <c r="E21" s="91">
        <v>41</v>
      </c>
      <c r="F21" s="91">
        <v>41</v>
      </c>
      <c r="G21" s="124"/>
      <c r="H21" s="118" t="s">
        <v>63</v>
      </c>
      <c r="I21" s="43">
        <v>2010</v>
      </c>
      <c r="J21" s="91">
        <v>610</v>
      </c>
      <c r="L21" s="92">
        <f t="shared" si="0"/>
        <v>-1400</v>
      </c>
    </row>
    <row r="22" ht="15.75" customHeight="1" spans="1:12">
      <c r="A22" s="101" t="s">
        <v>64</v>
      </c>
      <c r="B22" s="44">
        <v>60</v>
      </c>
      <c r="C22" s="44">
        <v>60</v>
      </c>
      <c r="D22" s="123" t="s">
        <v>65</v>
      </c>
      <c r="E22" s="91">
        <v>2180</v>
      </c>
      <c r="F22" s="91">
        <v>1570</v>
      </c>
      <c r="G22" s="124"/>
      <c r="H22" s="118" t="s">
        <v>66</v>
      </c>
      <c r="I22" s="43">
        <v>1000</v>
      </c>
      <c r="J22" s="91">
        <v>1247</v>
      </c>
      <c r="L22" s="92">
        <f t="shared" si="0"/>
        <v>247</v>
      </c>
    </row>
    <row r="23" ht="15.75" customHeight="1" spans="1:12">
      <c r="A23" s="101" t="s">
        <v>67</v>
      </c>
      <c r="B23" s="44">
        <v>1300</v>
      </c>
      <c r="C23" s="44">
        <v>1300</v>
      </c>
      <c r="D23" s="94" t="s">
        <v>68</v>
      </c>
      <c r="E23" s="91">
        <v>4377</v>
      </c>
      <c r="F23" s="91">
        <v>2459</v>
      </c>
      <c r="G23" s="124"/>
      <c r="H23" s="118" t="s">
        <v>69</v>
      </c>
      <c r="I23" s="43">
        <v>150</v>
      </c>
      <c r="J23" s="91">
        <v>615</v>
      </c>
      <c r="L23" s="92">
        <f t="shared" si="0"/>
        <v>465</v>
      </c>
    </row>
    <row r="24" ht="15.75" customHeight="1" spans="1:12">
      <c r="A24" s="101" t="s">
        <v>70</v>
      </c>
      <c r="B24" s="44">
        <v>17740</v>
      </c>
      <c r="C24" s="44">
        <v>17740</v>
      </c>
      <c r="D24" s="95" t="s">
        <v>71</v>
      </c>
      <c r="E24" s="91">
        <v>15758</v>
      </c>
      <c r="F24" s="91">
        <v>15758</v>
      </c>
      <c r="G24" s="124"/>
      <c r="H24" s="118" t="s">
        <v>72</v>
      </c>
      <c r="I24" s="43">
        <v>330</v>
      </c>
      <c r="J24" s="91">
        <v>540</v>
      </c>
      <c r="L24" s="92">
        <f t="shared" si="0"/>
        <v>210</v>
      </c>
    </row>
    <row r="25" ht="15.75" customHeight="1" spans="1:12">
      <c r="A25" s="125" t="s">
        <v>73</v>
      </c>
      <c r="B25" s="51">
        <f>SUM(B26:B27)</f>
        <v>67320</v>
      </c>
      <c r="C25" s="51">
        <f>SUM(C26:C27)</f>
        <v>68447</v>
      </c>
      <c r="D25" s="95" t="s">
        <v>74</v>
      </c>
      <c r="E25" s="91">
        <v>33873</v>
      </c>
      <c r="F25" s="91">
        <v>3103</v>
      </c>
      <c r="G25" s="124"/>
      <c r="H25" s="118" t="s">
        <v>75</v>
      </c>
      <c r="I25" s="43"/>
      <c r="J25" s="91">
        <v>96900</v>
      </c>
      <c r="L25" s="92">
        <f>J26-I26</f>
        <v>0</v>
      </c>
    </row>
    <row r="26" ht="15.75" customHeight="1" spans="1:12">
      <c r="A26" s="101" t="s">
        <v>76</v>
      </c>
      <c r="B26" s="44">
        <v>10690</v>
      </c>
      <c r="C26" s="43">
        <v>10690</v>
      </c>
      <c r="D26" s="95" t="s">
        <v>77</v>
      </c>
      <c r="E26" s="43">
        <v>33873</v>
      </c>
      <c r="F26" s="91">
        <v>3000</v>
      </c>
      <c r="G26" s="124"/>
      <c r="H26" s="118"/>
      <c r="I26" s="43"/>
      <c r="J26" s="91"/>
      <c r="L26" s="92">
        <f>J27-I27</f>
        <v>0</v>
      </c>
    </row>
    <row r="27" ht="15.75" customHeight="1" spans="1:12">
      <c r="A27" s="101" t="s">
        <v>78</v>
      </c>
      <c r="B27" s="44">
        <v>56630</v>
      </c>
      <c r="C27" s="43">
        <v>57757</v>
      </c>
      <c r="D27" s="125" t="s">
        <v>79</v>
      </c>
      <c r="E27" s="111">
        <v>8800</v>
      </c>
      <c r="F27" s="111">
        <f>SUM(F28:F29)</f>
        <v>8800</v>
      </c>
      <c r="G27" s="124"/>
      <c r="H27" s="118"/>
      <c r="I27" s="43"/>
      <c r="J27" s="91"/>
      <c r="L27" s="92" t="e">
        <f>#REF!-#REF!</f>
        <v>#REF!</v>
      </c>
    </row>
    <row r="28" ht="15.75" customHeight="1" spans="1:10">
      <c r="A28" s="126" t="s">
        <v>80</v>
      </c>
      <c r="B28" s="51"/>
      <c r="C28" s="51">
        <v>15922</v>
      </c>
      <c r="D28" s="127" t="s">
        <v>81</v>
      </c>
      <c r="E28" s="46">
        <v>3403</v>
      </c>
      <c r="F28" s="46">
        <v>3403</v>
      </c>
      <c r="G28" s="91"/>
      <c r="H28" s="113" t="s">
        <v>82</v>
      </c>
      <c r="I28" s="145"/>
      <c r="J28" s="146"/>
    </row>
    <row r="29" ht="15.75" customHeight="1" spans="1:10">
      <c r="A29" s="126" t="s">
        <v>83</v>
      </c>
      <c r="B29" s="111"/>
      <c r="C29" s="111">
        <v>7002</v>
      </c>
      <c r="D29" s="127" t="s">
        <v>84</v>
      </c>
      <c r="E29" s="46">
        <v>5397</v>
      </c>
      <c r="F29" s="46">
        <v>5397</v>
      </c>
      <c r="G29" s="91"/>
      <c r="H29" s="122" t="s">
        <v>85</v>
      </c>
      <c r="I29" s="147" t="s">
        <v>16</v>
      </c>
      <c r="J29" s="147" t="s">
        <v>17</v>
      </c>
    </row>
    <row r="30" ht="15.75" customHeight="1" spans="1:10">
      <c r="A30" s="128" t="s">
        <v>86</v>
      </c>
      <c r="B30" s="129">
        <v>172380</v>
      </c>
      <c r="C30" s="129">
        <f>57028+1070</f>
        <v>58098</v>
      </c>
      <c r="D30" s="125" t="s">
        <v>87</v>
      </c>
      <c r="E30" s="129"/>
      <c r="F30" s="129"/>
      <c r="G30" s="90"/>
      <c r="H30" s="120" t="s">
        <v>88</v>
      </c>
      <c r="I30" s="51">
        <v>1070</v>
      </c>
      <c r="J30" s="150">
        <v>1070</v>
      </c>
    </row>
    <row r="31" ht="15.75" customHeight="1" spans="1:10">
      <c r="A31" s="128"/>
      <c r="B31" s="129"/>
      <c r="C31" s="129"/>
      <c r="D31" s="130" t="s">
        <v>89</v>
      </c>
      <c r="E31" s="130">
        <v>8736</v>
      </c>
      <c r="F31" s="130">
        <v>8202</v>
      </c>
      <c r="G31" s="130"/>
      <c r="H31" s="120" t="s">
        <v>90</v>
      </c>
      <c r="I31" s="51"/>
      <c r="J31" s="151"/>
    </row>
    <row r="32" ht="15.75" customHeight="1" spans="1:10">
      <c r="A32" s="131" t="s">
        <v>91</v>
      </c>
      <c r="B32" s="51">
        <v>40140</v>
      </c>
      <c r="C32" s="90">
        <v>40140</v>
      </c>
      <c r="D32" s="132"/>
      <c r="E32" s="130"/>
      <c r="F32" s="130"/>
      <c r="G32" s="132"/>
      <c r="H32" s="120" t="s">
        <v>92</v>
      </c>
      <c r="I32" s="51">
        <v>1070</v>
      </c>
      <c r="J32" s="151">
        <v>1070</v>
      </c>
    </row>
    <row r="33" ht="15.75" customHeight="1" spans="1:10">
      <c r="A33" s="131"/>
      <c r="B33" s="51"/>
      <c r="C33" s="51"/>
      <c r="D33" s="133" t="s">
        <v>93</v>
      </c>
      <c r="E33" s="90"/>
      <c r="F33" s="91"/>
      <c r="G33" s="134"/>
      <c r="H33" s="113" t="s">
        <v>94</v>
      </c>
      <c r="I33" s="145"/>
      <c r="J33" s="146"/>
    </row>
    <row r="34" ht="15.75" customHeight="1" spans="1:10">
      <c r="A34" s="128" t="s">
        <v>95</v>
      </c>
      <c r="B34" s="129">
        <f>SUM(B35:B38)</f>
        <v>68650</v>
      </c>
      <c r="C34" s="129">
        <f>SUM(C35:C38)</f>
        <v>68650</v>
      </c>
      <c r="D34" s="135" t="s">
        <v>96</v>
      </c>
      <c r="E34" s="129">
        <f>SUM(E35:E36)</f>
        <v>214850</v>
      </c>
      <c r="F34" s="129">
        <f>SUM(F35:F36)</f>
        <v>214850</v>
      </c>
      <c r="G34" s="90"/>
      <c r="H34" s="122" t="s">
        <v>85</v>
      </c>
      <c r="I34" s="147" t="s">
        <v>16</v>
      </c>
      <c r="J34" s="147" t="s">
        <v>17</v>
      </c>
    </row>
    <row r="35" ht="15.75" customHeight="1" spans="1:10">
      <c r="A35" s="136" t="s">
        <v>97</v>
      </c>
      <c r="B35" s="44">
        <v>29000</v>
      </c>
      <c r="C35" s="44">
        <v>29000</v>
      </c>
      <c r="D35" s="137" t="s">
        <v>98</v>
      </c>
      <c r="E35" s="91">
        <v>172350</v>
      </c>
      <c r="F35" s="91">
        <v>172350</v>
      </c>
      <c r="G35" s="91"/>
      <c r="H35" s="120" t="s">
        <v>99</v>
      </c>
      <c r="I35" s="152">
        <v>62717</v>
      </c>
      <c r="J35" s="152">
        <v>62717</v>
      </c>
    </row>
    <row r="36" ht="15.75" customHeight="1" spans="1:10">
      <c r="A36" s="136" t="s">
        <v>100</v>
      </c>
      <c r="B36" s="45">
        <v>63</v>
      </c>
      <c r="C36" s="45">
        <v>63</v>
      </c>
      <c r="D36" s="137" t="s">
        <v>101</v>
      </c>
      <c r="E36" s="91">
        <v>42500</v>
      </c>
      <c r="F36" s="91">
        <v>42500</v>
      </c>
      <c r="G36" s="138"/>
      <c r="H36" s="118" t="s">
        <v>102</v>
      </c>
      <c r="I36" s="153">
        <v>31127</v>
      </c>
      <c r="J36" s="153">
        <v>31127</v>
      </c>
    </row>
    <row r="37" ht="15.75" customHeight="1" spans="1:10">
      <c r="A37" s="136" t="s">
        <v>103</v>
      </c>
      <c r="B37" s="46">
        <v>37650</v>
      </c>
      <c r="C37" s="46">
        <v>37650</v>
      </c>
      <c r="D37" s="139" t="s">
        <v>104</v>
      </c>
      <c r="E37" s="129">
        <f>SUM(E38:E40)</f>
        <v>146200</v>
      </c>
      <c r="F37" s="129">
        <f>SUM(F38:F40)</f>
        <v>146200</v>
      </c>
      <c r="G37" s="111">
        <f>SUM(G38:G40)</f>
        <v>0</v>
      </c>
      <c r="H37" s="118" t="s">
        <v>105</v>
      </c>
      <c r="I37" s="153">
        <v>28652</v>
      </c>
      <c r="J37" s="153">
        <v>28652</v>
      </c>
    </row>
    <row r="38" ht="15.75" customHeight="1" spans="1:10">
      <c r="A38" s="136" t="s">
        <v>106</v>
      </c>
      <c r="B38" s="46">
        <v>1937</v>
      </c>
      <c r="C38" s="46">
        <v>1937</v>
      </c>
      <c r="D38" s="137" t="s">
        <v>98</v>
      </c>
      <c r="E38" s="91">
        <v>103700</v>
      </c>
      <c r="F38" s="91">
        <v>103700</v>
      </c>
      <c r="G38" s="46"/>
      <c r="H38" s="120" t="s">
        <v>107</v>
      </c>
      <c r="I38" s="51">
        <v>53160</v>
      </c>
      <c r="J38" s="51">
        <v>53160</v>
      </c>
    </row>
    <row r="39" customHeight="1" spans="1:10">
      <c r="A39" s="128" t="s">
        <v>108</v>
      </c>
      <c r="B39" s="90">
        <f>SUM(B5+B34)</f>
        <v>214850</v>
      </c>
      <c r="C39" s="90">
        <f>SUM(C5+C34)</f>
        <v>214850</v>
      </c>
      <c r="D39" s="137" t="s">
        <v>101</v>
      </c>
      <c r="E39" s="91">
        <v>42500</v>
      </c>
      <c r="F39" s="91">
        <v>42500</v>
      </c>
      <c r="G39" s="46"/>
      <c r="H39" s="120" t="s">
        <v>109</v>
      </c>
      <c r="I39" s="112">
        <v>9557</v>
      </c>
      <c r="J39" s="112">
        <v>9557</v>
      </c>
    </row>
    <row r="40" customHeight="1" spans="1:10">
      <c r="A40" s="101" t="s">
        <v>110</v>
      </c>
      <c r="B40" s="43"/>
      <c r="C40" s="43">
        <f>1913+318+6+962+36+6+100</f>
        <v>3341</v>
      </c>
      <c r="D40" s="137"/>
      <c r="E40" s="46"/>
      <c r="F40" s="46"/>
      <c r="G40" s="46"/>
      <c r="H40" s="140"/>
      <c r="I40" s="154"/>
      <c r="J40" s="155"/>
    </row>
    <row r="41" customHeight="1" spans="1:10">
      <c r="A41" s="101" t="s">
        <v>111</v>
      </c>
      <c r="B41" s="43"/>
      <c r="C41" s="43"/>
      <c r="H41" s="140"/>
      <c r="I41" s="154"/>
      <c r="J41" s="155"/>
    </row>
    <row r="42" customHeight="1" spans="1:10">
      <c r="A42" s="101" t="s">
        <v>112</v>
      </c>
      <c r="B42" s="51"/>
      <c r="C42" s="51">
        <v>6300</v>
      </c>
      <c r="H42" s="140"/>
      <c r="I42" s="154"/>
      <c r="J42" s="155"/>
    </row>
    <row r="43" spans="2:10">
      <c r="B43" s="51"/>
      <c r="C43" s="51">
        <v>1640</v>
      </c>
      <c r="H43" s="140"/>
      <c r="I43" s="154"/>
      <c r="J43" s="155"/>
    </row>
    <row r="44" spans="2:10">
      <c r="B44" s="111"/>
      <c r="C44" s="111">
        <f>8624+294</f>
        <v>8918</v>
      </c>
      <c r="H44" s="140"/>
      <c r="I44" s="154"/>
      <c r="J44" s="155"/>
    </row>
    <row r="45" spans="1:10">
      <c r="A45" t="s">
        <v>113</v>
      </c>
      <c r="B45" s="43">
        <f>SUM(B46:B47)</f>
        <v>12300</v>
      </c>
      <c r="C45" s="141" t="e">
        <f>SUM(C46:C47)</f>
        <v>#REF!</v>
      </c>
      <c r="H45" s="142"/>
      <c r="I45" s="156"/>
      <c r="J45" s="157"/>
    </row>
    <row r="46" spans="2:10">
      <c r="B46" s="43">
        <v>6800</v>
      </c>
      <c r="C46" s="43">
        <f>收入调整!D21</f>
        <v>3600</v>
      </c>
      <c r="H46" s="143"/>
      <c r="I46" s="158"/>
      <c r="J46" s="159"/>
    </row>
    <row r="47" spans="2:10">
      <c r="B47" s="43">
        <v>5500</v>
      </c>
      <c r="C47" s="32" t="e">
        <f>收入调整!#REF!</f>
        <v>#REF!</v>
      </c>
      <c r="H47" s="143"/>
      <c r="I47" s="158"/>
      <c r="J47" s="159"/>
    </row>
    <row r="48" spans="8:10">
      <c r="H48" s="143"/>
      <c r="I48" s="158"/>
      <c r="J48" s="159"/>
    </row>
  </sheetData>
  <mergeCells count="4">
    <mergeCell ref="A1:J1"/>
    <mergeCell ref="H4:J4"/>
    <mergeCell ref="H28:J28"/>
    <mergeCell ref="H33:J33"/>
  </mergeCells>
  <pageMargins left="0.393055555555556" right="0" top="0.393055555555556" bottom="0.196527777777778" header="0.511805555555556" footer="0.511805555555556"/>
  <pageSetup paperSize="9" scale="82" orientation="landscape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44"/>
  <sheetViews>
    <sheetView showZeros="0" workbookViewId="0">
      <selection activeCell="H5" sqref="H5:H24"/>
    </sheetView>
  </sheetViews>
  <sheetFormatPr defaultColWidth="9" defaultRowHeight="14.25"/>
  <cols>
    <col min="1" max="1" width="30.5" customWidth="1"/>
    <col min="2" max="2" width="14" customWidth="1"/>
    <col min="3" max="3" width="13.5" customWidth="1"/>
    <col min="4" max="4" width="13.125" customWidth="1"/>
    <col min="5" max="5" width="15.125" customWidth="1"/>
    <col min="6" max="6" width="23.625" customWidth="1"/>
    <col min="7" max="8" width="10.875" customWidth="1"/>
    <col min="9" max="10" width="11" customWidth="1"/>
    <col min="11" max="11" width="10.375"/>
    <col min="15" max="15" width="20.875" customWidth="1"/>
    <col min="17" max="17" width="14.875" customWidth="1"/>
  </cols>
  <sheetData>
    <row r="1" ht="24" customHeight="1" spans="1:13">
      <c r="A1" s="87" t="s">
        <v>114</v>
      </c>
      <c r="B1" s="87"/>
      <c r="C1" s="87"/>
      <c r="D1" s="87"/>
      <c r="E1" s="87"/>
      <c r="F1" s="87"/>
      <c r="G1" s="87"/>
      <c r="H1" s="87"/>
      <c r="I1" s="87"/>
      <c r="J1" s="87"/>
      <c r="K1" s="99"/>
      <c r="L1" s="99"/>
      <c r="M1" s="99"/>
    </row>
    <row r="2" ht="18" customHeight="1" spans="1:9">
      <c r="A2" t="s">
        <v>1</v>
      </c>
      <c r="I2" t="s">
        <v>115</v>
      </c>
    </row>
    <row r="3" ht="29.25" customHeight="1" spans="1:10">
      <c r="A3" s="88" t="s">
        <v>116</v>
      </c>
      <c r="B3" s="88" t="s">
        <v>16</v>
      </c>
      <c r="C3" s="88" t="s">
        <v>17</v>
      </c>
      <c r="D3" s="88" t="s">
        <v>117</v>
      </c>
      <c r="E3" s="89" t="s">
        <v>118</v>
      </c>
      <c r="F3" s="89" t="s">
        <v>119</v>
      </c>
      <c r="G3" s="89" t="s">
        <v>120</v>
      </c>
      <c r="H3" s="89" t="s">
        <v>121</v>
      </c>
      <c r="I3" s="43" t="s">
        <v>122</v>
      </c>
      <c r="J3" s="100"/>
    </row>
    <row r="4" ht="20.25" customHeight="1" spans="1:18">
      <c r="A4" s="55" t="s">
        <v>123</v>
      </c>
      <c r="B4" s="90">
        <f>SUM(B5:B24)</f>
        <v>368364</v>
      </c>
      <c r="C4" s="90">
        <f>SUM(C5:C24)</f>
        <v>268804.0680138</v>
      </c>
      <c r="D4" s="90">
        <f>SUM(D5,D6:D8,D9:D15,D16:D24)</f>
        <v>-99559.9319862</v>
      </c>
      <c r="E4" s="90">
        <f>SUM(E5,E6:E8,E9:E15,E16:E24)</f>
        <v>-18282.34</v>
      </c>
      <c r="F4" s="90">
        <f>SUM(F5,F6:F8,F9:F15,F16:F24)</f>
        <v>15922</v>
      </c>
      <c r="G4" s="90">
        <f>SUM(G5:G24)</f>
        <v>0</v>
      </c>
      <c r="H4" s="90">
        <f>SUM(H5:H24)</f>
        <v>-97199.5919862</v>
      </c>
      <c r="I4" s="101"/>
      <c r="J4" s="102">
        <v>97199.5919862</v>
      </c>
      <c r="K4">
        <f>C4-F4</f>
        <v>252882.0680138</v>
      </c>
      <c r="O4" t="s">
        <v>124</v>
      </c>
      <c r="P4">
        <v>27996</v>
      </c>
      <c r="Q4" t="s">
        <v>125</v>
      </c>
      <c r="R4">
        <v>37856</v>
      </c>
    </row>
    <row r="5" ht="20.25" customHeight="1" spans="1:18">
      <c r="A5" s="62" t="s">
        <v>125</v>
      </c>
      <c r="B5" s="91">
        <f>总表!E6</f>
        <v>41975</v>
      </c>
      <c r="C5" s="91">
        <f>SUM(B5,D5)</f>
        <v>30427.5597531</v>
      </c>
      <c r="D5" s="91">
        <f>SUM(E5:H5)</f>
        <v>-11547.4402469</v>
      </c>
      <c r="E5" s="91">
        <f>专项调整!E7</f>
        <v>-544.83</v>
      </c>
      <c r="F5" s="91">
        <f>专项调整!F7</f>
        <v>0</v>
      </c>
      <c r="G5" s="91"/>
      <c r="H5" s="92">
        <f>-J5</f>
        <v>-11002.6102469</v>
      </c>
      <c r="I5" s="101"/>
      <c r="J5" s="102">
        <v>11002.6102469</v>
      </c>
      <c r="K5">
        <f t="shared" ref="K5:K24" si="0">C5-F5</f>
        <v>30427.5597531</v>
      </c>
      <c r="O5" t="s">
        <v>126</v>
      </c>
      <c r="P5">
        <v>187</v>
      </c>
      <c r="Q5" t="s">
        <v>127</v>
      </c>
      <c r="R5">
        <v>533.8</v>
      </c>
    </row>
    <row r="6" ht="20.25" customHeight="1" spans="1:18">
      <c r="A6" s="62" t="s">
        <v>127</v>
      </c>
      <c r="B6" s="91">
        <f>总表!E7</f>
        <v>461</v>
      </c>
      <c r="C6" s="91">
        <f t="shared" ref="C6:C24" si="1">SUM(B6,D6)</f>
        <v>338.57223</v>
      </c>
      <c r="D6" s="91">
        <f t="shared" ref="D6:D24" si="2">SUM(E6:H6)</f>
        <v>-122.42777</v>
      </c>
      <c r="E6" s="91">
        <f>专项调整!E13</f>
        <v>0</v>
      </c>
      <c r="F6" s="91">
        <f>专项调整!F13</f>
        <v>0</v>
      </c>
      <c r="G6" s="91"/>
      <c r="H6" s="92">
        <f t="shared" ref="H6:H24" si="3">-J6</f>
        <v>-122.42777</v>
      </c>
      <c r="I6" s="101"/>
      <c r="J6" s="102">
        <v>122.42777</v>
      </c>
      <c r="K6">
        <v>534</v>
      </c>
      <c r="O6" t="s">
        <v>128</v>
      </c>
      <c r="P6">
        <v>13730</v>
      </c>
      <c r="Q6" t="s">
        <v>129</v>
      </c>
      <c r="R6">
        <v>14779</v>
      </c>
    </row>
    <row r="7" ht="20.25" customHeight="1" spans="1:18">
      <c r="A7" s="63" t="s">
        <v>129</v>
      </c>
      <c r="B7" s="91">
        <f>总表!E8</f>
        <v>17511</v>
      </c>
      <c r="C7" s="91">
        <f t="shared" si="1"/>
        <v>13459.16418</v>
      </c>
      <c r="D7" s="91">
        <f t="shared" si="2"/>
        <v>-4051.83582</v>
      </c>
      <c r="E7" s="91">
        <f>专项调整!E14</f>
        <v>815</v>
      </c>
      <c r="F7" s="91">
        <f>专项调整!F14</f>
        <v>0</v>
      </c>
      <c r="G7" s="91"/>
      <c r="H7" s="92">
        <f t="shared" si="3"/>
        <v>-4866.83582</v>
      </c>
      <c r="I7" s="101"/>
      <c r="J7" s="102">
        <v>4866.83582</v>
      </c>
      <c r="K7">
        <f t="shared" si="0"/>
        <v>13459.16418</v>
      </c>
      <c r="O7" t="s">
        <v>130</v>
      </c>
      <c r="P7">
        <v>105573</v>
      </c>
      <c r="Q7" t="s">
        <v>131</v>
      </c>
      <c r="R7">
        <v>120083</v>
      </c>
    </row>
    <row r="8" ht="20.25" customHeight="1" spans="1:18">
      <c r="A8" s="63" t="s">
        <v>131</v>
      </c>
      <c r="B8" s="91">
        <f>总表!E9</f>
        <v>115235</v>
      </c>
      <c r="C8" s="91">
        <f t="shared" si="1"/>
        <v>98617.7034084</v>
      </c>
      <c r="D8" s="91">
        <f t="shared" si="2"/>
        <v>-16617.2965916</v>
      </c>
      <c r="E8" s="91">
        <f>专项调整!E17</f>
        <v>8842.88</v>
      </c>
      <c r="F8" s="91">
        <f>6100+850+1750+500+500+500</f>
        <v>10200</v>
      </c>
      <c r="G8" s="91"/>
      <c r="H8" s="92">
        <f t="shared" si="3"/>
        <v>-35660.1765916</v>
      </c>
      <c r="I8" s="101"/>
      <c r="J8" s="102">
        <v>35660.1765916</v>
      </c>
      <c r="K8">
        <f t="shared" si="0"/>
        <v>88417.7034084</v>
      </c>
      <c r="O8" t="s">
        <v>132</v>
      </c>
      <c r="P8">
        <v>398</v>
      </c>
      <c r="Q8" t="s">
        <v>133</v>
      </c>
      <c r="R8">
        <v>2955</v>
      </c>
    </row>
    <row r="9" ht="20.25" customHeight="1" spans="1:18">
      <c r="A9" s="63" t="s">
        <v>133</v>
      </c>
      <c r="B9" s="91">
        <f>总表!E10</f>
        <v>2840</v>
      </c>
      <c r="C9" s="91">
        <f t="shared" si="1"/>
        <v>2085.7812</v>
      </c>
      <c r="D9" s="91">
        <f t="shared" si="2"/>
        <v>-754.2188</v>
      </c>
      <c r="E9" s="91">
        <f>专项调整!E24</f>
        <v>0</v>
      </c>
      <c r="F9" s="91"/>
      <c r="G9" s="91"/>
      <c r="H9" s="92">
        <f t="shared" si="3"/>
        <v>-754.2188</v>
      </c>
      <c r="I9" s="101"/>
      <c r="J9" s="102">
        <v>754.2188</v>
      </c>
      <c r="K9">
        <f t="shared" si="0"/>
        <v>2085.7812</v>
      </c>
      <c r="O9" t="s">
        <v>134</v>
      </c>
      <c r="P9">
        <v>2293</v>
      </c>
      <c r="Q9" t="s">
        <v>135</v>
      </c>
      <c r="R9">
        <v>4404</v>
      </c>
    </row>
    <row r="10" ht="20.25" customHeight="1" spans="1:18">
      <c r="A10" s="63" t="s">
        <v>135</v>
      </c>
      <c r="B10" s="91">
        <f>总表!E11</f>
        <v>3724</v>
      </c>
      <c r="C10" s="91">
        <f t="shared" si="1"/>
        <v>2853.26055</v>
      </c>
      <c r="D10" s="91">
        <f t="shared" si="2"/>
        <v>-870.73945</v>
      </c>
      <c r="E10" s="91">
        <f>专项调整!E25</f>
        <v>161</v>
      </c>
      <c r="F10" s="91"/>
      <c r="G10" s="91"/>
      <c r="H10" s="92">
        <f t="shared" si="3"/>
        <v>-1031.73945</v>
      </c>
      <c r="I10" s="101"/>
      <c r="J10" s="102">
        <v>1031.73945</v>
      </c>
      <c r="K10">
        <f t="shared" si="0"/>
        <v>2853.26055</v>
      </c>
      <c r="O10" t="s">
        <v>136</v>
      </c>
      <c r="P10">
        <v>2036</v>
      </c>
      <c r="Q10" t="s">
        <v>137</v>
      </c>
      <c r="R10">
        <v>37767</v>
      </c>
    </row>
    <row r="11" ht="20.25" customHeight="1" spans="1:18">
      <c r="A11" s="63" t="s">
        <v>137</v>
      </c>
      <c r="B11" s="91">
        <f>总表!E12</f>
        <v>36753</v>
      </c>
      <c r="C11" s="91">
        <f t="shared" si="1"/>
        <v>27164.6855592</v>
      </c>
      <c r="D11" s="91">
        <f t="shared" si="2"/>
        <v>-9588.3144408</v>
      </c>
      <c r="E11" s="91">
        <f>专项调整!E30</f>
        <v>234.44</v>
      </c>
      <c r="F11" s="91"/>
      <c r="G11" s="91"/>
      <c r="H11" s="92">
        <f t="shared" si="3"/>
        <v>-9822.7544408</v>
      </c>
      <c r="I11" s="101"/>
      <c r="J11" s="102">
        <v>9822.7544408</v>
      </c>
      <c r="K11">
        <f t="shared" si="0"/>
        <v>27164.6855592</v>
      </c>
      <c r="O11" t="s">
        <v>138</v>
      </c>
      <c r="P11">
        <v>13389</v>
      </c>
      <c r="Q11" t="s">
        <v>139</v>
      </c>
      <c r="R11">
        <v>33162</v>
      </c>
    </row>
    <row r="12" ht="20.25" customHeight="1" spans="1:18">
      <c r="A12" s="63" t="s">
        <v>139</v>
      </c>
      <c r="B12" s="91">
        <f>总表!E13</f>
        <v>26604</v>
      </c>
      <c r="C12" s="91">
        <f t="shared" si="1"/>
        <v>21971.94231</v>
      </c>
      <c r="D12" s="91">
        <f t="shared" si="2"/>
        <v>-4632.05769</v>
      </c>
      <c r="E12" s="91">
        <f>专项调整!E41</f>
        <v>2603</v>
      </c>
      <c r="F12" s="91">
        <f>710</f>
        <v>710</v>
      </c>
      <c r="G12" s="91"/>
      <c r="H12" s="92">
        <f t="shared" si="3"/>
        <v>-7945.05769</v>
      </c>
      <c r="I12" s="101"/>
      <c r="J12" s="102">
        <v>7945.05769</v>
      </c>
      <c r="K12">
        <f t="shared" si="0"/>
        <v>21261.94231</v>
      </c>
      <c r="O12" t="s">
        <v>140</v>
      </c>
      <c r="Q12" t="s">
        <v>141</v>
      </c>
      <c r="R12">
        <v>9574</v>
      </c>
    </row>
    <row r="13" ht="20.25" customHeight="1" spans="1:18">
      <c r="A13" s="63" t="s">
        <v>141</v>
      </c>
      <c r="B13" s="91">
        <f>总表!E14</f>
        <v>4499</v>
      </c>
      <c r="C13" s="91">
        <f t="shared" si="1"/>
        <v>3823.44258</v>
      </c>
      <c r="D13" s="91">
        <f t="shared" si="2"/>
        <v>-675.55742</v>
      </c>
      <c r="E13" s="91">
        <f>专项调整!E45</f>
        <v>145</v>
      </c>
      <c r="F13" s="91">
        <v>562</v>
      </c>
      <c r="G13" s="91"/>
      <c r="H13" s="92">
        <f t="shared" si="3"/>
        <v>-1382.55742</v>
      </c>
      <c r="I13" s="101"/>
      <c r="J13" s="102">
        <v>1382.55742</v>
      </c>
      <c r="K13">
        <f t="shared" si="0"/>
        <v>3261.44258</v>
      </c>
      <c r="O13" t="s">
        <v>142</v>
      </c>
      <c r="P13">
        <v>4354</v>
      </c>
      <c r="Q13" t="s">
        <v>143</v>
      </c>
      <c r="R13">
        <v>15245</v>
      </c>
    </row>
    <row r="14" ht="20.25" customHeight="1" spans="1:18">
      <c r="A14" s="63" t="s">
        <v>143</v>
      </c>
      <c r="B14" s="91">
        <f>总表!E15</f>
        <v>7242</v>
      </c>
      <c r="C14" s="91">
        <f t="shared" si="1"/>
        <v>5614.9450233</v>
      </c>
      <c r="D14" s="91">
        <f t="shared" si="2"/>
        <v>-1627.0549767</v>
      </c>
      <c r="E14" s="91">
        <f>专项调整!E48</f>
        <v>-96.6900000000001</v>
      </c>
      <c r="F14" s="91">
        <v>500</v>
      </c>
      <c r="G14" s="91"/>
      <c r="H14" s="92">
        <f t="shared" si="3"/>
        <v>-2030.3649767</v>
      </c>
      <c r="I14" s="101"/>
      <c r="J14" s="102">
        <v>2030.3649767</v>
      </c>
      <c r="K14">
        <f t="shared" si="0"/>
        <v>5114.9450233</v>
      </c>
      <c r="O14" t="s">
        <v>144</v>
      </c>
      <c r="P14">
        <v>10003</v>
      </c>
      <c r="Q14" t="s">
        <v>145</v>
      </c>
      <c r="R14">
        <v>19913</v>
      </c>
    </row>
    <row r="15" ht="20.25" customHeight="1" spans="1:18">
      <c r="A15" s="63" t="s">
        <v>145</v>
      </c>
      <c r="B15" s="91">
        <f>总表!E16</f>
        <v>20126</v>
      </c>
      <c r="C15" s="91">
        <f t="shared" si="1"/>
        <v>17776.87815</v>
      </c>
      <c r="D15" s="91">
        <f t="shared" si="2"/>
        <v>-2349.12185</v>
      </c>
      <c r="E15" s="91">
        <f>专项调整!E53</f>
        <v>4079</v>
      </c>
      <c r="F15" s="91"/>
      <c r="G15" s="91"/>
      <c r="H15" s="92">
        <f t="shared" si="3"/>
        <v>-6428.12185</v>
      </c>
      <c r="I15" s="101"/>
      <c r="J15" s="102">
        <v>6428.12185</v>
      </c>
      <c r="K15">
        <f t="shared" si="0"/>
        <v>17776.87815</v>
      </c>
      <c r="O15" t="s">
        <v>146</v>
      </c>
      <c r="P15">
        <v>1348</v>
      </c>
      <c r="Q15" t="s">
        <v>147</v>
      </c>
      <c r="R15">
        <v>4935</v>
      </c>
    </row>
    <row r="16" ht="20.25" customHeight="1" spans="1:18">
      <c r="A16" s="62" t="s">
        <v>147</v>
      </c>
      <c r="B16" s="91">
        <f>总表!E17</f>
        <v>2827</v>
      </c>
      <c r="C16" s="91">
        <f t="shared" si="1"/>
        <v>5148.6921378</v>
      </c>
      <c r="D16" s="91">
        <f t="shared" si="2"/>
        <v>2321.6921378</v>
      </c>
      <c r="E16" s="91">
        <f>专项调整!E58</f>
        <v>843.46</v>
      </c>
      <c r="F16" s="91">
        <f>500+500+500+540+1300</f>
        <v>3340</v>
      </c>
      <c r="G16" s="91"/>
      <c r="H16" s="92">
        <f t="shared" si="3"/>
        <v>-1861.7678622</v>
      </c>
      <c r="I16" s="101"/>
      <c r="J16" s="102">
        <v>1861.7678622</v>
      </c>
      <c r="K16">
        <f t="shared" si="0"/>
        <v>1808.6921378</v>
      </c>
      <c r="O16" t="s">
        <v>148</v>
      </c>
      <c r="P16">
        <v>455</v>
      </c>
      <c r="Q16" t="s">
        <v>149</v>
      </c>
      <c r="R16">
        <v>20364</v>
      </c>
    </row>
    <row r="17" ht="20.25" customHeight="1" spans="1:18">
      <c r="A17" s="62" t="s">
        <v>149</v>
      </c>
      <c r="B17" s="91">
        <f>总表!E18</f>
        <v>22293</v>
      </c>
      <c r="C17" s="91">
        <f t="shared" si="1"/>
        <v>4787.74917</v>
      </c>
      <c r="D17" s="91">
        <f t="shared" si="2"/>
        <v>-17505.25083</v>
      </c>
      <c r="E17" s="91">
        <f>专项调整!E63</f>
        <v>-15774</v>
      </c>
      <c r="F17" s="91"/>
      <c r="G17" s="91"/>
      <c r="H17" s="92">
        <f t="shared" si="3"/>
        <v>-1731.25083</v>
      </c>
      <c r="I17" s="101"/>
      <c r="J17" s="102">
        <v>1731.25083</v>
      </c>
      <c r="K17">
        <f t="shared" si="0"/>
        <v>4787.74917</v>
      </c>
      <c r="O17" t="s">
        <v>150</v>
      </c>
      <c r="P17">
        <v>342</v>
      </c>
      <c r="Q17" t="s">
        <v>151</v>
      </c>
      <c r="R17">
        <v>577</v>
      </c>
    </row>
    <row r="18" ht="20.25" customHeight="1" spans="1:18">
      <c r="A18" s="62" t="s">
        <v>151</v>
      </c>
      <c r="B18" s="91">
        <f>总表!E19</f>
        <v>405</v>
      </c>
      <c r="C18" s="91">
        <f t="shared" si="1"/>
        <v>34.077552</v>
      </c>
      <c r="D18" s="91">
        <f t="shared" si="2"/>
        <v>-370.922448</v>
      </c>
      <c r="E18" s="91">
        <f>专项调整!E66</f>
        <v>-358.6</v>
      </c>
      <c r="F18" s="91">
        <f>专项调整!F66</f>
        <v>0</v>
      </c>
      <c r="G18" s="91"/>
      <c r="H18" s="92">
        <f t="shared" si="3"/>
        <v>-12.322448</v>
      </c>
      <c r="I18" s="101"/>
      <c r="J18" s="102">
        <v>12.322448</v>
      </c>
      <c r="K18">
        <f t="shared" si="0"/>
        <v>34.077552</v>
      </c>
      <c r="O18" t="s">
        <v>152</v>
      </c>
      <c r="P18">
        <v>0</v>
      </c>
      <c r="Q18" t="s">
        <v>153</v>
      </c>
      <c r="R18">
        <v>4030</v>
      </c>
    </row>
    <row r="19" ht="20.25" customHeight="1" spans="1:18">
      <c r="A19" s="93" t="s">
        <v>153</v>
      </c>
      <c r="B19" s="91">
        <f>总表!E20</f>
        <v>9640</v>
      </c>
      <c r="C19" s="91">
        <f t="shared" si="1"/>
        <v>7089.45279</v>
      </c>
      <c r="D19" s="91">
        <f t="shared" si="2"/>
        <v>-2550.54721</v>
      </c>
      <c r="E19" s="91">
        <f>专项调整!E70</f>
        <v>13</v>
      </c>
      <c r="F19" s="91">
        <f>专项调整!F70</f>
        <v>0</v>
      </c>
      <c r="G19" s="91"/>
      <c r="H19" s="92">
        <f t="shared" si="3"/>
        <v>-2563.54721</v>
      </c>
      <c r="I19" s="72"/>
      <c r="J19" s="103">
        <v>2563.54721</v>
      </c>
      <c r="K19">
        <f t="shared" si="0"/>
        <v>7089.45279</v>
      </c>
      <c r="O19" t="s">
        <v>154</v>
      </c>
      <c r="P19">
        <v>0</v>
      </c>
      <c r="Q19" t="s">
        <v>62</v>
      </c>
      <c r="R19">
        <v>200</v>
      </c>
    </row>
    <row r="20" ht="20.25" customHeight="1" spans="1:18">
      <c r="A20" s="93" t="s">
        <v>62</v>
      </c>
      <c r="B20" s="91">
        <f>总表!E21</f>
        <v>41</v>
      </c>
      <c r="C20" s="91">
        <f t="shared" si="1"/>
        <v>30.11163</v>
      </c>
      <c r="D20" s="91">
        <f t="shared" si="2"/>
        <v>-10.88837</v>
      </c>
      <c r="E20" s="91">
        <f>专项调整!E73</f>
        <v>0</v>
      </c>
      <c r="F20" s="91"/>
      <c r="G20" s="91"/>
      <c r="H20" s="92">
        <f t="shared" si="3"/>
        <v>-10.88837</v>
      </c>
      <c r="I20" s="101"/>
      <c r="J20" s="102">
        <v>10.88837</v>
      </c>
      <c r="K20">
        <f t="shared" si="0"/>
        <v>30.11163</v>
      </c>
      <c r="O20" t="s">
        <v>155</v>
      </c>
      <c r="P20">
        <v>1375</v>
      </c>
      <c r="Q20" t="s">
        <v>156</v>
      </c>
      <c r="R20">
        <v>2250</v>
      </c>
    </row>
    <row r="21" ht="20.25" customHeight="1" spans="1:18">
      <c r="A21" s="93" t="s">
        <v>156</v>
      </c>
      <c r="B21" s="91">
        <f>总表!E22</f>
        <v>2180</v>
      </c>
      <c r="C21" s="91">
        <f t="shared" si="1"/>
        <v>1601.0574</v>
      </c>
      <c r="D21" s="91">
        <f t="shared" si="2"/>
        <v>-578.9426</v>
      </c>
      <c r="E21" s="91">
        <f>专项调整!E76</f>
        <v>0</v>
      </c>
      <c r="F21" s="91">
        <f>专项调整!F76</f>
        <v>0</v>
      </c>
      <c r="G21" s="91"/>
      <c r="H21" s="92">
        <f t="shared" si="3"/>
        <v>-578.9426</v>
      </c>
      <c r="I21" s="101"/>
      <c r="J21" s="102">
        <v>578.9426</v>
      </c>
      <c r="K21">
        <f t="shared" si="0"/>
        <v>1601.0574</v>
      </c>
      <c r="O21" t="s">
        <v>157</v>
      </c>
      <c r="Q21" t="s">
        <v>68</v>
      </c>
      <c r="R21">
        <v>3643</v>
      </c>
    </row>
    <row r="22" ht="20.25" customHeight="1" spans="1:18">
      <c r="A22" s="94" t="s">
        <v>68</v>
      </c>
      <c r="B22" s="91">
        <f>总表!E23</f>
        <v>4377</v>
      </c>
      <c r="C22" s="91">
        <f t="shared" si="1"/>
        <v>3360.01725</v>
      </c>
      <c r="D22" s="91">
        <f t="shared" si="2"/>
        <v>-1016.98275</v>
      </c>
      <c r="E22" s="91">
        <f>专项调整!E80</f>
        <v>-412</v>
      </c>
      <c r="F22" s="91">
        <v>610</v>
      </c>
      <c r="G22" s="91"/>
      <c r="H22" s="92">
        <f t="shared" si="3"/>
        <v>-1214.98275</v>
      </c>
      <c r="I22" s="101"/>
      <c r="J22" s="102">
        <v>1214.98275</v>
      </c>
      <c r="K22">
        <f t="shared" si="0"/>
        <v>2750.01725</v>
      </c>
      <c r="O22" t="s">
        <v>158</v>
      </c>
      <c r="Q22" t="s">
        <v>71</v>
      </c>
      <c r="R22">
        <v>16244</v>
      </c>
    </row>
    <row r="23" ht="20.25" customHeight="1" spans="1:18">
      <c r="A23" s="95" t="s">
        <v>71</v>
      </c>
      <c r="B23" s="91">
        <f>总表!E24</f>
        <v>15758</v>
      </c>
      <c r="C23" s="91">
        <f t="shared" si="1"/>
        <v>11573.14794</v>
      </c>
      <c r="D23" s="91">
        <f t="shared" si="2"/>
        <v>-4184.85206</v>
      </c>
      <c r="E23" s="91">
        <f>专项调整!E85</f>
        <v>0</v>
      </c>
      <c r="F23" s="91"/>
      <c r="G23" s="91"/>
      <c r="H23" s="92">
        <f t="shared" si="3"/>
        <v>-4184.85206</v>
      </c>
      <c r="I23" s="104"/>
      <c r="J23" s="105">
        <v>4184.85206</v>
      </c>
      <c r="K23">
        <f t="shared" si="0"/>
        <v>11573.14794</v>
      </c>
      <c r="O23" t="s">
        <v>159</v>
      </c>
      <c r="P23">
        <v>812</v>
      </c>
      <c r="Q23" t="s">
        <v>74</v>
      </c>
      <c r="R23">
        <v>15107</v>
      </c>
    </row>
    <row r="24" ht="20.25" customHeight="1" spans="1:16">
      <c r="A24" s="96" t="s">
        <v>74</v>
      </c>
      <c r="B24" s="91">
        <f>总表!E25</f>
        <v>33873</v>
      </c>
      <c r="C24" s="91">
        <f t="shared" si="1"/>
        <v>11045.8272</v>
      </c>
      <c r="D24" s="91">
        <f t="shared" si="2"/>
        <v>-22827.1728</v>
      </c>
      <c r="E24" s="91">
        <f>专项调整!E86</f>
        <v>-18833</v>
      </c>
      <c r="F24" s="91">
        <f>专项调整!F86</f>
        <v>0</v>
      </c>
      <c r="G24" s="91"/>
      <c r="H24" s="92">
        <f t="shared" si="3"/>
        <v>-3994.1728</v>
      </c>
      <c r="I24" s="101"/>
      <c r="J24" s="102">
        <v>3994.1728</v>
      </c>
      <c r="K24">
        <f t="shared" si="0"/>
        <v>11045.8272</v>
      </c>
      <c r="O24" t="s">
        <v>160</v>
      </c>
      <c r="P24">
        <v>0</v>
      </c>
    </row>
    <row r="25" spans="15:15">
      <c r="O25" t="s">
        <v>161</v>
      </c>
    </row>
    <row r="26" spans="15:15">
      <c r="O26" t="s">
        <v>162</v>
      </c>
    </row>
    <row r="27" spans="6:15">
      <c r="F27" t="s">
        <v>163</v>
      </c>
      <c r="G27">
        <v>7996</v>
      </c>
      <c r="O27" t="s">
        <v>164</v>
      </c>
    </row>
    <row r="28" spans="6:7">
      <c r="F28" t="s">
        <v>165</v>
      </c>
      <c r="G28">
        <v>33</v>
      </c>
    </row>
    <row r="29" spans="1:7">
      <c r="A29" s="97" t="s">
        <v>166</v>
      </c>
      <c r="B29" s="92">
        <f>SUM(B8:B16,B18:B21)</f>
        <v>232116</v>
      </c>
      <c r="C29" s="92">
        <f>SUM(C8:C16,C18:C21)</f>
        <v>193812.0302907</v>
      </c>
      <c r="F29" t="s">
        <v>167</v>
      </c>
      <c r="G29">
        <v>1501</v>
      </c>
    </row>
    <row r="30" spans="1:7">
      <c r="A30" s="97" t="s">
        <v>168</v>
      </c>
      <c r="B30" s="98">
        <f>B29/B4</f>
        <v>0.630126722481024</v>
      </c>
      <c r="C30" s="98">
        <f>C29/C4</f>
        <v>0.721015986561446</v>
      </c>
      <c r="F30" t="s">
        <v>169</v>
      </c>
      <c r="G30">
        <v>30115</v>
      </c>
    </row>
    <row r="31" spans="6:7">
      <c r="F31" t="s">
        <v>170</v>
      </c>
      <c r="G31">
        <v>119</v>
      </c>
    </row>
    <row r="32" spans="6:7">
      <c r="F32" t="s">
        <v>171</v>
      </c>
      <c r="G32">
        <v>700</v>
      </c>
    </row>
    <row r="33" spans="6:7">
      <c r="F33" t="s">
        <v>172</v>
      </c>
      <c r="G33">
        <v>526</v>
      </c>
    </row>
    <row r="34" spans="6:7">
      <c r="F34" t="s">
        <v>173</v>
      </c>
      <c r="G34">
        <v>698</v>
      </c>
    </row>
    <row r="35" spans="6:6">
      <c r="F35" t="s">
        <v>174</v>
      </c>
    </row>
    <row r="36" spans="6:7">
      <c r="F36" t="s">
        <v>175</v>
      </c>
      <c r="G36">
        <v>555</v>
      </c>
    </row>
    <row r="37" spans="6:7">
      <c r="F37" t="s">
        <v>176</v>
      </c>
      <c r="G37">
        <v>2063</v>
      </c>
    </row>
    <row r="38" spans="6:7">
      <c r="F38" t="s">
        <v>177</v>
      </c>
      <c r="G38">
        <v>402</v>
      </c>
    </row>
    <row r="39" spans="6:7">
      <c r="F39" t="s">
        <v>178</v>
      </c>
      <c r="G39">
        <v>111</v>
      </c>
    </row>
    <row r="40" spans="6:7">
      <c r="F40" t="s">
        <v>179</v>
      </c>
      <c r="G40">
        <v>82</v>
      </c>
    </row>
    <row r="41" spans="6:7">
      <c r="F41" t="s">
        <v>180</v>
      </c>
      <c r="G41">
        <v>268</v>
      </c>
    </row>
    <row r="42" spans="6:6">
      <c r="F42" t="s">
        <v>181</v>
      </c>
    </row>
    <row r="43" spans="6:6">
      <c r="F43" t="s">
        <v>182</v>
      </c>
    </row>
    <row r="44" spans="6:7">
      <c r="F44" t="s">
        <v>183</v>
      </c>
      <c r="G44">
        <v>143</v>
      </c>
    </row>
  </sheetData>
  <mergeCells count="1">
    <mergeCell ref="A1:I1"/>
  </mergeCells>
  <pageMargins left="0.984027777777778" right="0" top="0.590277777777778" bottom="0.393055555555556" header="0.511805555555556" footer="0.511805555555556"/>
  <pageSetup paperSize="9" scale="99" orientation="landscape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95"/>
  <sheetViews>
    <sheetView showZeros="0" zoomScale="115" zoomScaleNormal="115" workbookViewId="0">
      <pane ySplit="6" topLeftCell="A7" activePane="bottomLeft" state="frozen"/>
      <selection/>
      <selection pane="bottomLeft" activeCell="H52" sqref="H52"/>
    </sheetView>
  </sheetViews>
  <sheetFormatPr defaultColWidth="9" defaultRowHeight="12.75"/>
  <cols>
    <col min="1" max="1" width="39.125" style="1" customWidth="1"/>
    <col min="2" max="2" width="9.45" style="1" customWidth="1"/>
    <col min="3" max="3" width="9.625" style="1" customWidth="1"/>
    <col min="4" max="4" width="8.75" style="1" customWidth="1"/>
    <col min="5" max="5" width="10.75" style="1" customWidth="1"/>
    <col min="6" max="6" width="8.25" style="1" customWidth="1"/>
    <col min="7" max="7" width="9.375" style="1" customWidth="1"/>
    <col min="8" max="8" width="8.625" style="1" customWidth="1"/>
    <col min="9" max="9" width="11.25" style="1" customWidth="1"/>
    <col min="10" max="10" width="19.25" style="1" customWidth="1"/>
    <col min="11" max="16384" width="9" style="1"/>
  </cols>
  <sheetData>
    <row r="1" ht="24.75" customHeight="1" spans="1:10">
      <c r="A1" s="47" t="s">
        <v>184</v>
      </c>
      <c r="B1" s="47"/>
      <c r="C1" s="47"/>
      <c r="D1" s="47"/>
      <c r="E1" s="47"/>
      <c r="F1" s="47"/>
      <c r="G1" s="47"/>
      <c r="H1" s="47"/>
      <c r="I1" s="47"/>
      <c r="J1" s="47"/>
    </row>
    <row r="2" ht="16.5" customHeight="1" spans="1:10">
      <c r="A2" s="48" t="s">
        <v>1</v>
      </c>
      <c r="B2" s="49"/>
      <c r="J2" s="48" t="s">
        <v>185</v>
      </c>
    </row>
    <row r="3" ht="18" customHeight="1" spans="1:10">
      <c r="A3" s="50" t="s">
        <v>186</v>
      </c>
      <c r="B3" s="51" t="s">
        <v>187</v>
      </c>
      <c r="C3" s="51"/>
      <c r="D3" s="51"/>
      <c r="E3" s="51"/>
      <c r="F3" s="51"/>
      <c r="G3" s="51"/>
      <c r="H3" s="51"/>
      <c r="I3" s="51"/>
      <c r="J3" s="67" t="s">
        <v>188</v>
      </c>
    </row>
    <row r="4" ht="25.5" customHeight="1" spans="1:10">
      <c r="A4" s="50"/>
      <c r="B4" s="52" t="s">
        <v>189</v>
      </c>
      <c r="C4" s="53" t="s">
        <v>190</v>
      </c>
      <c r="D4" s="52" t="s">
        <v>191</v>
      </c>
      <c r="E4" s="5" t="s">
        <v>118</v>
      </c>
      <c r="F4" s="5" t="s">
        <v>119</v>
      </c>
      <c r="G4" s="54" t="s">
        <v>192</v>
      </c>
      <c r="H4" s="54" t="s">
        <v>193</v>
      </c>
      <c r="I4" s="68" t="s">
        <v>194</v>
      </c>
      <c r="J4" s="67"/>
    </row>
    <row r="5" ht="17.25" customHeight="1" spans="1:10">
      <c r="A5" s="51" t="s">
        <v>195</v>
      </c>
      <c r="B5" s="44">
        <f t="shared" ref="B5:I5" si="0">SUM(B6)</f>
        <v>59910.68</v>
      </c>
      <c r="C5" s="44">
        <f t="shared" si="0"/>
        <v>35140.6273</v>
      </c>
      <c r="D5" s="44">
        <f t="shared" si="0"/>
        <v>6719.1652</v>
      </c>
      <c r="E5" s="44">
        <f t="shared" si="0"/>
        <v>-18282.34</v>
      </c>
      <c r="F5" s="44">
        <f t="shared" si="0"/>
        <v>15922</v>
      </c>
      <c r="G5" s="44">
        <f t="shared" si="0"/>
        <v>53716.34</v>
      </c>
      <c r="H5" s="44">
        <f t="shared" si="0"/>
        <v>-6194.34</v>
      </c>
      <c r="I5" s="44">
        <f t="shared" si="0"/>
        <v>21799.9127</v>
      </c>
      <c r="J5" s="69"/>
    </row>
    <row r="6" ht="17.25" customHeight="1" spans="1:10">
      <c r="A6" s="55" t="s">
        <v>123</v>
      </c>
      <c r="B6" s="56">
        <f>SUM(B7,B13:B14,B17,B24:B25,B30,B41,B45,B48,B53,B58,B63,B66,B70,B76,B80,B85:B86)</f>
        <v>59910.68</v>
      </c>
      <c r="C6" s="56">
        <f>SUM(C7,C13:C14,C17,C24:C25,C30,C41,C45,C48,C53,C58,C63,C66,C70,C76,C80,C85:C86)</f>
        <v>35140.6273</v>
      </c>
      <c r="D6" s="56">
        <f>SUM(D7,D13:D14,D17,D24:D25,D30,D41,D45,D48,D53,D58,D63,D66,D70,D76,D80,D85:D86)</f>
        <v>6719.1652</v>
      </c>
      <c r="E6" s="56">
        <f>SUM(E7,E13:E14,E17,E24:E25,E30,E41,E45,E48,E53,E58,E63,E66,E70,E76,E80,E85:E86,E73)</f>
        <v>-18282.34</v>
      </c>
      <c r="F6" s="56">
        <f>SUM(F7,F13:F14,F17,F24:F25,F30,F41,F45,F48,F53,F58,F63,F66,F70,F76,F80,F85:F86)</f>
        <v>15922</v>
      </c>
      <c r="G6" s="56">
        <f>SUM(G7,G13:G14,G17,G24:G25,G30,G41,G45,G48,G53,G58,G63,G66,G70,G76,G80,G85:G86)</f>
        <v>53716.34</v>
      </c>
      <c r="H6" s="56">
        <f>SUM(H7,H13:H14,H17,H24:H25,H30,H41,H45,H48,H53,H58,H63,H66,H70,H76,H80,H85:H86)</f>
        <v>-6194.34</v>
      </c>
      <c r="I6" s="56">
        <f>SUM(I7,I13:I14,I17,I24:I25,I30,I41,I45,I48,I53,I58,I63,I66,I70,I76,I80,I85:I86)</f>
        <v>21799.9127</v>
      </c>
      <c r="J6" s="70"/>
    </row>
    <row r="7" ht="17.25" customHeight="1" spans="1:10">
      <c r="A7" s="57" t="s">
        <v>196</v>
      </c>
      <c r="B7" s="58">
        <f t="shared" ref="B7:I7" si="1">SUM(B8:B12)</f>
        <v>3300</v>
      </c>
      <c r="C7" s="58">
        <f t="shared" si="1"/>
        <v>2755.57</v>
      </c>
      <c r="D7" s="58">
        <f t="shared" si="1"/>
        <v>544.43</v>
      </c>
      <c r="E7" s="58">
        <f t="shared" si="1"/>
        <v>-544.83</v>
      </c>
      <c r="F7" s="58">
        <f t="shared" si="1"/>
        <v>0</v>
      </c>
      <c r="G7" s="58">
        <f t="shared" si="1"/>
        <v>2755.17</v>
      </c>
      <c r="H7" s="58">
        <f t="shared" si="1"/>
        <v>-544.83</v>
      </c>
      <c r="I7" s="58">
        <f t="shared" si="1"/>
        <v>-0.399999999999977</v>
      </c>
      <c r="J7" s="34"/>
    </row>
    <row r="8" ht="17.25" customHeight="1" spans="1:10">
      <c r="A8" s="59" t="s">
        <v>197</v>
      </c>
      <c r="B8" s="44">
        <v>300</v>
      </c>
      <c r="C8" s="60">
        <v>6</v>
      </c>
      <c r="D8" s="44">
        <f>B8-C8</f>
        <v>294</v>
      </c>
      <c r="E8" s="61">
        <v>-294.4</v>
      </c>
      <c r="F8" s="44"/>
      <c r="G8" s="44">
        <f t="shared" ref="G8:G13" si="2">SUM(B8,E8:F8)</f>
        <v>5.60000000000002</v>
      </c>
      <c r="H8" s="44">
        <f>G8-B8</f>
        <v>-294.4</v>
      </c>
      <c r="I8" s="44">
        <f t="shared" ref="I8:I20" si="3">G8-C8</f>
        <v>-0.399999999999977</v>
      </c>
      <c r="J8" s="71"/>
    </row>
    <row r="9" ht="17.25" customHeight="1" spans="1:10">
      <c r="A9" s="59" t="s">
        <v>198</v>
      </c>
      <c r="B9" s="44">
        <v>3000</v>
      </c>
      <c r="C9" s="44">
        <v>648.57</v>
      </c>
      <c r="D9" s="44">
        <f>B9-C9</f>
        <v>2351.43</v>
      </c>
      <c r="E9" s="61">
        <v>-2351.43</v>
      </c>
      <c r="F9" s="44"/>
      <c r="G9" s="44">
        <f t="shared" si="2"/>
        <v>648.57</v>
      </c>
      <c r="H9" s="44">
        <f>G9-B9</f>
        <v>-2351.43</v>
      </c>
      <c r="I9" s="44">
        <f t="shared" si="3"/>
        <v>0</v>
      </c>
      <c r="J9" s="71"/>
    </row>
    <row r="10" ht="17.25" customHeight="1" spans="1:10">
      <c r="A10" s="62" t="s">
        <v>199</v>
      </c>
      <c r="B10" s="44"/>
      <c r="C10" s="60">
        <v>2101</v>
      </c>
      <c r="D10" s="44">
        <f>B10-C10</f>
        <v>-2101</v>
      </c>
      <c r="E10" s="61">
        <v>2101</v>
      </c>
      <c r="F10" s="44"/>
      <c r="G10" s="44">
        <f t="shared" si="2"/>
        <v>2101</v>
      </c>
      <c r="H10" s="44">
        <f>G10-B10</f>
        <v>2101</v>
      </c>
      <c r="I10" s="44">
        <f t="shared" si="3"/>
        <v>0</v>
      </c>
      <c r="J10" s="71"/>
    </row>
    <row r="11" ht="17.25" customHeight="1" spans="1:10">
      <c r="A11" s="62"/>
      <c r="B11" s="44"/>
      <c r="C11" s="60"/>
      <c r="D11" s="44"/>
      <c r="E11" s="61"/>
      <c r="F11" s="44"/>
      <c r="G11" s="44">
        <f t="shared" si="2"/>
        <v>0</v>
      </c>
      <c r="H11" s="44">
        <f>G11-B11</f>
        <v>0</v>
      </c>
      <c r="I11" s="44">
        <f t="shared" si="3"/>
        <v>0</v>
      </c>
      <c r="J11" s="71"/>
    </row>
    <row r="12" ht="25.5" customHeight="1" spans="1:10">
      <c r="A12" s="62"/>
      <c r="B12" s="44"/>
      <c r="C12" s="60"/>
      <c r="D12" s="44"/>
      <c r="E12" s="61"/>
      <c r="F12" s="61"/>
      <c r="G12" s="44">
        <f t="shared" si="2"/>
        <v>0</v>
      </c>
      <c r="H12" s="44">
        <f>G12-B12</f>
        <v>0</v>
      </c>
      <c r="I12" s="44">
        <f t="shared" si="3"/>
        <v>0</v>
      </c>
      <c r="J12" s="72"/>
    </row>
    <row r="13" ht="17.25" customHeight="1" spans="1:10">
      <c r="A13" s="57" t="s">
        <v>200</v>
      </c>
      <c r="B13" s="58"/>
      <c r="C13" s="60"/>
      <c r="D13" s="58">
        <f>B13-C13</f>
        <v>0</v>
      </c>
      <c r="E13" s="58"/>
      <c r="F13" s="58"/>
      <c r="G13" s="58">
        <f t="shared" si="2"/>
        <v>0</v>
      </c>
      <c r="H13" s="58"/>
      <c r="I13" s="58">
        <f t="shared" si="3"/>
        <v>0</v>
      </c>
      <c r="J13" s="73"/>
    </row>
    <row r="14" ht="17.25" customHeight="1" spans="1:10">
      <c r="A14" s="57" t="s">
        <v>201</v>
      </c>
      <c r="B14" s="58">
        <f t="shared" ref="B14:H14" si="4">SUM(B15:B16)</f>
        <v>0</v>
      </c>
      <c r="C14" s="58">
        <f t="shared" si="4"/>
        <v>814.76</v>
      </c>
      <c r="D14" s="58">
        <f t="shared" si="4"/>
        <v>0</v>
      </c>
      <c r="E14" s="58">
        <f t="shared" si="4"/>
        <v>815</v>
      </c>
      <c r="F14" s="58">
        <f t="shared" si="4"/>
        <v>0</v>
      </c>
      <c r="G14" s="58">
        <f t="shared" si="4"/>
        <v>815</v>
      </c>
      <c r="H14" s="58">
        <f t="shared" si="4"/>
        <v>815</v>
      </c>
      <c r="I14" s="58">
        <f t="shared" si="3"/>
        <v>0.240000000000009</v>
      </c>
      <c r="J14" s="34"/>
    </row>
    <row r="15" ht="17.25" customHeight="1" spans="1:10">
      <c r="A15" s="63" t="s">
        <v>202</v>
      </c>
      <c r="B15" s="44"/>
      <c r="C15" s="60"/>
      <c r="D15" s="61"/>
      <c r="E15" s="61"/>
      <c r="F15" s="61"/>
      <c r="G15" s="44"/>
      <c r="H15" s="44"/>
      <c r="I15" s="44">
        <f t="shared" si="3"/>
        <v>0</v>
      </c>
      <c r="J15" s="70"/>
    </row>
    <row r="16" ht="17.25" customHeight="1" spans="1:10">
      <c r="A16" s="63" t="s">
        <v>203</v>
      </c>
      <c r="B16" s="44"/>
      <c r="C16" s="60">
        <f>210+604.76</f>
        <v>814.76</v>
      </c>
      <c r="D16" s="61"/>
      <c r="E16" s="61">
        <v>815</v>
      </c>
      <c r="F16" s="61"/>
      <c r="G16" s="44">
        <v>815</v>
      </c>
      <c r="H16" s="44">
        <v>815</v>
      </c>
      <c r="I16" s="44">
        <f t="shared" si="3"/>
        <v>0.240000000000009</v>
      </c>
      <c r="J16" s="72"/>
    </row>
    <row r="17" ht="17.25" customHeight="1" spans="1:10">
      <c r="A17" s="57" t="s">
        <v>204</v>
      </c>
      <c r="B17" s="58">
        <f>SUM(B18:B23)</f>
        <v>565.2</v>
      </c>
      <c r="C17" s="58">
        <f>SUM(C18:C23)</f>
        <v>9225</v>
      </c>
      <c r="D17" s="58">
        <f>B17-C17</f>
        <v>-8659.8</v>
      </c>
      <c r="E17" s="58">
        <f>SUM(E18:E23)</f>
        <v>8842.88</v>
      </c>
      <c r="F17" s="58">
        <f>SUM(F18:F23)</f>
        <v>10200</v>
      </c>
      <c r="G17" s="58">
        <f t="shared" ref="G17:G23" si="5">SUM(B17,E17:F17)</f>
        <v>19608.08</v>
      </c>
      <c r="H17" s="58">
        <f>SUM(H18:H23)</f>
        <v>19042.88</v>
      </c>
      <c r="I17" s="58">
        <f t="shared" si="3"/>
        <v>10383.08</v>
      </c>
      <c r="J17" s="34"/>
    </row>
    <row r="18" ht="19.5" customHeight="1" spans="1:10">
      <c r="A18" s="64" t="s">
        <v>205</v>
      </c>
      <c r="B18" s="44"/>
      <c r="C18" s="61">
        <v>8238</v>
      </c>
      <c r="D18" s="61">
        <v>-8238</v>
      </c>
      <c r="E18" s="61">
        <v>8238</v>
      </c>
      <c r="F18" s="61"/>
      <c r="G18" s="44">
        <f t="shared" si="5"/>
        <v>8238</v>
      </c>
      <c r="H18" s="44">
        <f t="shared" ref="H18:H23" si="6">G18-B18</f>
        <v>8238</v>
      </c>
      <c r="I18" s="44">
        <f t="shared" si="3"/>
        <v>0</v>
      </c>
      <c r="J18" s="72"/>
    </row>
    <row r="19" ht="17.25" customHeight="1" spans="1:10">
      <c r="A19" s="63" t="s">
        <v>206</v>
      </c>
      <c r="B19" s="44"/>
      <c r="C19" s="61"/>
      <c r="D19" s="61"/>
      <c r="E19" s="61"/>
      <c r="F19" s="61">
        <v>10200</v>
      </c>
      <c r="G19" s="44">
        <f t="shared" si="5"/>
        <v>10200</v>
      </c>
      <c r="H19" s="44">
        <f t="shared" si="6"/>
        <v>10200</v>
      </c>
      <c r="I19" s="44">
        <f t="shared" si="3"/>
        <v>10200</v>
      </c>
      <c r="J19" s="74"/>
    </row>
    <row r="20" ht="17.25" customHeight="1" spans="1:10">
      <c r="A20" s="63" t="s">
        <v>207</v>
      </c>
      <c r="B20" s="44"/>
      <c r="C20" s="61">
        <v>987</v>
      </c>
      <c r="D20" s="61"/>
      <c r="E20" s="61">
        <v>987</v>
      </c>
      <c r="F20" s="61"/>
      <c r="G20" s="44">
        <f t="shared" si="5"/>
        <v>987</v>
      </c>
      <c r="H20" s="44">
        <f t="shared" si="6"/>
        <v>987</v>
      </c>
      <c r="I20" s="44"/>
      <c r="J20" s="74"/>
    </row>
    <row r="21" ht="17.25" customHeight="1" spans="1:10">
      <c r="A21" s="63" t="s">
        <v>208</v>
      </c>
      <c r="B21" s="44">
        <v>30</v>
      </c>
      <c r="C21" s="60"/>
      <c r="D21" s="61">
        <f t="shared" ref="D21:D27" si="7">B21-C21</f>
        <v>30</v>
      </c>
      <c r="E21" s="61">
        <v>-30</v>
      </c>
      <c r="F21" s="61"/>
      <c r="G21" s="44">
        <f t="shared" si="5"/>
        <v>0</v>
      </c>
      <c r="H21" s="44">
        <f t="shared" si="6"/>
        <v>-30</v>
      </c>
      <c r="I21" s="44">
        <f>G21-C21</f>
        <v>0</v>
      </c>
      <c r="J21" s="74"/>
    </row>
    <row r="22" ht="17.25" customHeight="1" spans="1:10">
      <c r="A22" s="63" t="s">
        <v>209</v>
      </c>
      <c r="B22" s="44">
        <v>295.2</v>
      </c>
      <c r="C22" s="60"/>
      <c r="D22" s="61">
        <f t="shared" si="7"/>
        <v>295.2</v>
      </c>
      <c r="E22" s="65">
        <v>-112.12</v>
      </c>
      <c r="F22" s="61"/>
      <c r="G22" s="44">
        <f t="shared" si="5"/>
        <v>183.08</v>
      </c>
      <c r="H22" s="44">
        <f t="shared" si="6"/>
        <v>-112.12</v>
      </c>
      <c r="I22" s="44"/>
      <c r="J22" s="74"/>
    </row>
    <row r="23" ht="17.25" customHeight="1" spans="1:10">
      <c r="A23" s="63" t="s">
        <v>210</v>
      </c>
      <c r="B23" s="44">
        <v>240</v>
      </c>
      <c r="C23" s="60"/>
      <c r="D23" s="61">
        <f t="shared" si="7"/>
        <v>240</v>
      </c>
      <c r="E23" s="65">
        <v>-240</v>
      </c>
      <c r="F23" s="61"/>
      <c r="G23" s="44">
        <f t="shared" si="5"/>
        <v>0</v>
      </c>
      <c r="H23" s="44">
        <f t="shared" si="6"/>
        <v>-240</v>
      </c>
      <c r="I23" s="44">
        <f>G23-C23</f>
        <v>0</v>
      </c>
      <c r="J23" s="70"/>
    </row>
    <row r="24" ht="17.25" customHeight="1" spans="1:10">
      <c r="A24" s="57" t="s">
        <v>211</v>
      </c>
      <c r="B24" s="58"/>
      <c r="C24" s="58"/>
      <c r="D24" s="58">
        <f t="shared" si="7"/>
        <v>0</v>
      </c>
      <c r="E24" s="58"/>
      <c r="F24" s="58"/>
      <c r="G24" s="58">
        <f t="shared" ref="G21:G27" si="8">SUM(B24,E24:F24)</f>
        <v>0</v>
      </c>
      <c r="H24" s="58"/>
      <c r="I24" s="58">
        <f>G24-C24</f>
        <v>0</v>
      </c>
      <c r="J24" s="34"/>
    </row>
    <row r="25" ht="17.25" customHeight="1" spans="1:10">
      <c r="A25" s="57" t="s">
        <v>212</v>
      </c>
      <c r="B25" s="58">
        <f>SUM(B26:B27)</f>
        <v>0</v>
      </c>
      <c r="C25" s="58">
        <f>SUM(C26:C27)</f>
        <v>161</v>
      </c>
      <c r="D25" s="58">
        <f t="shared" si="7"/>
        <v>-161</v>
      </c>
      <c r="E25" s="58">
        <f>SUM(E26:E27)</f>
        <v>161</v>
      </c>
      <c r="F25" s="58">
        <f>SUM(F26:F27)</f>
        <v>0</v>
      </c>
      <c r="G25" s="58">
        <f t="shared" si="8"/>
        <v>161</v>
      </c>
      <c r="H25" s="58">
        <f>G25-B25</f>
        <v>161</v>
      </c>
      <c r="I25" s="58">
        <f>G25-C25</f>
        <v>0</v>
      </c>
      <c r="J25" s="75"/>
    </row>
    <row r="26" ht="17.25" customHeight="1" spans="1:10">
      <c r="A26" s="63" t="s">
        <v>213</v>
      </c>
      <c r="B26" s="44"/>
      <c r="C26" s="61"/>
      <c r="D26" s="61"/>
      <c r="E26" s="61"/>
      <c r="F26" s="61"/>
      <c r="G26" s="44">
        <f t="shared" si="8"/>
        <v>0</v>
      </c>
      <c r="H26" s="44">
        <f>G26-B26</f>
        <v>0</v>
      </c>
      <c r="I26" s="44">
        <f>G26-C26</f>
        <v>0</v>
      </c>
      <c r="J26" s="76"/>
    </row>
    <row r="27" ht="27.75" customHeight="1" spans="1:10">
      <c r="A27" s="64" t="s">
        <v>214</v>
      </c>
      <c r="B27" s="44"/>
      <c r="C27" s="60">
        <v>161</v>
      </c>
      <c r="D27" s="61">
        <f t="shared" si="7"/>
        <v>-161</v>
      </c>
      <c r="E27" s="61">
        <v>161</v>
      </c>
      <c r="F27" s="61"/>
      <c r="G27" s="44">
        <f t="shared" si="8"/>
        <v>161</v>
      </c>
      <c r="H27" s="44">
        <f>G27-B27</f>
        <v>161</v>
      </c>
      <c r="I27" s="44">
        <f>G27-C27</f>
        <v>0</v>
      </c>
      <c r="J27" s="76"/>
    </row>
    <row r="28" ht="27.75" customHeight="1" spans="1:10">
      <c r="A28" s="64" t="s">
        <v>215</v>
      </c>
      <c r="B28" s="44"/>
      <c r="C28" s="61"/>
      <c r="D28" s="61"/>
      <c r="E28" s="61"/>
      <c r="F28" s="61"/>
      <c r="G28" s="44"/>
      <c r="H28" s="44"/>
      <c r="I28" s="44"/>
      <c r="J28" s="76"/>
    </row>
    <row r="29" ht="27.75" customHeight="1" spans="1:10">
      <c r="A29" s="64" t="s">
        <v>216</v>
      </c>
      <c r="B29" s="44"/>
      <c r="C29" s="61"/>
      <c r="D29" s="61"/>
      <c r="E29" s="61"/>
      <c r="F29" s="61"/>
      <c r="G29" s="44"/>
      <c r="H29" s="44"/>
      <c r="I29" s="44"/>
      <c r="J29" s="76"/>
    </row>
    <row r="30" ht="17.25" customHeight="1" spans="1:10">
      <c r="A30" s="57" t="s">
        <v>217</v>
      </c>
      <c r="B30" s="58">
        <f>SUM(B31:B39)</f>
        <v>955.18</v>
      </c>
      <c r="C30" s="58">
        <f>SUM(C31:C40)</f>
        <v>1189.0379</v>
      </c>
      <c r="D30" s="58">
        <f t="shared" ref="D30:D36" si="9">B30-C30</f>
        <v>-233.8579</v>
      </c>
      <c r="E30" s="58">
        <f>SUM(E31:E40)</f>
        <v>234.44</v>
      </c>
      <c r="F30" s="58">
        <f>SUM(F31:F38)</f>
        <v>0</v>
      </c>
      <c r="G30" s="58">
        <f t="shared" ref="G30:G36" si="10">SUM(B30,E30:F30)</f>
        <v>1189.62</v>
      </c>
      <c r="H30" s="58">
        <f t="shared" ref="H30:H40" si="11">G30-B30</f>
        <v>234.44</v>
      </c>
      <c r="I30" s="58">
        <f t="shared" ref="I30:I36" si="12">G30-C30</f>
        <v>0.582099999999855</v>
      </c>
      <c r="J30" s="34"/>
    </row>
    <row r="31" ht="31.5" customHeight="1" spans="1:10">
      <c r="A31" s="64" t="s">
        <v>218</v>
      </c>
      <c r="B31" s="44">
        <v>230</v>
      </c>
      <c r="C31" s="65">
        <v>146.5079</v>
      </c>
      <c r="D31" s="61">
        <f t="shared" si="9"/>
        <v>83.4921</v>
      </c>
      <c r="E31" s="61">
        <v>-83</v>
      </c>
      <c r="F31" s="61"/>
      <c r="G31" s="44">
        <f t="shared" si="10"/>
        <v>147</v>
      </c>
      <c r="H31" s="44">
        <f t="shared" si="11"/>
        <v>-83</v>
      </c>
      <c r="I31" s="44">
        <f t="shared" si="12"/>
        <v>0.492099999999994</v>
      </c>
      <c r="J31" s="70"/>
    </row>
    <row r="32" ht="31.5" customHeight="1" spans="1:10">
      <c r="A32" s="64" t="s">
        <v>219</v>
      </c>
      <c r="B32" s="44">
        <v>10</v>
      </c>
      <c r="C32" s="60"/>
      <c r="D32" s="61">
        <f t="shared" si="9"/>
        <v>10</v>
      </c>
      <c r="E32" s="61">
        <v>-10</v>
      </c>
      <c r="F32" s="61"/>
      <c r="G32" s="44">
        <f t="shared" si="10"/>
        <v>0</v>
      </c>
      <c r="H32" s="44">
        <f t="shared" si="11"/>
        <v>-10</v>
      </c>
      <c r="I32" s="44">
        <f t="shared" si="12"/>
        <v>0</v>
      </c>
      <c r="J32" s="70"/>
    </row>
    <row r="33" ht="31.5" customHeight="1" spans="1:10">
      <c r="A33" s="64" t="s">
        <v>220</v>
      </c>
      <c r="B33" s="44">
        <v>100</v>
      </c>
      <c r="C33" s="60"/>
      <c r="D33" s="61">
        <f t="shared" si="9"/>
        <v>100</v>
      </c>
      <c r="E33" s="61">
        <v>-100</v>
      </c>
      <c r="F33" s="61"/>
      <c r="G33" s="44">
        <f t="shared" si="10"/>
        <v>0</v>
      </c>
      <c r="H33" s="44">
        <f t="shared" si="11"/>
        <v>-100</v>
      </c>
      <c r="I33" s="44">
        <f t="shared" si="12"/>
        <v>0</v>
      </c>
      <c r="J33" s="70"/>
    </row>
    <row r="34" ht="31.5" customHeight="1" spans="1:10">
      <c r="A34" s="64" t="s">
        <v>221</v>
      </c>
      <c r="B34" s="44">
        <v>200</v>
      </c>
      <c r="C34" s="60"/>
      <c r="D34" s="61">
        <f t="shared" si="9"/>
        <v>200</v>
      </c>
      <c r="E34" s="61">
        <v>-200</v>
      </c>
      <c r="F34" s="61"/>
      <c r="G34" s="44">
        <f t="shared" si="10"/>
        <v>0</v>
      </c>
      <c r="H34" s="44">
        <f t="shared" si="11"/>
        <v>-200</v>
      </c>
      <c r="I34" s="44">
        <f t="shared" si="12"/>
        <v>0</v>
      </c>
      <c r="J34" s="70"/>
    </row>
    <row r="35" ht="31.5" customHeight="1" spans="1:10">
      <c r="A35" s="64" t="s">
        <v>222</v>
      </c>
      <c r="B35" s="44">
        <v>60</v>
      </c>
      <c r="C35" s="60">
        <v>15</v>
      </c>
      <c r="D35" s="61">
        <f t="shared" si="9"/>
        <v>45</v>
      </c>
      <c r="E35" s="61">
        <v>-45</v>
      </c>
      <c r="F35" s="61"/>
      <c r="G35" s="44">
        <f t="shared" si="10"/>
        <v>15</v>
      </c>
      <c r="H35" s="44">
        <f t="shared" si="11"/>
        <v>-45</v>
      </c>
      <c r="I35" s="44">
        <f t="shared" si="12"/>
        <v>0</v>
      </c>
      <c r="J35" s="70"/>
    </row>
    <row r="36" ht="31.5" customHeight="1" spans="1:10">
      <c r="A36" s="64" t="s">
        <v>223</v>
      </c>
      <c r="B36" s="44">
        <v>100.8</v>
      </c>
      <c r="C36" s="60">
        <v>5</v>
      </c>
      <c r="D36" s="61">
        <f t="shared" si="9"/>
        <v>95.8</v>
      </c>
      <c r="E36" s="61">
        <v>-96</v>
      </c>
      <c r="F36" s="61"/>
      <c r="G36" s="44">
        <f t="shared" si="10"/>
        <v>4.8</v>
      </c>
      <c r="H36" s="44">
        <f t="shared" si="11"/>
        <v>-96</v>
      </c>
      <c r="I36" s="44">
        <f t="shared" si="12"/>
        <v>-0.200000000000003</v>
      </c>
      <c r="J36" s="70"/>
    </row>
    <row r="37" ht="31.5" customHeight="1" spans="1:10">
      <c r="A37" s="64" t="s">
        <v>224</v>
      </c>
      <c r="B37" s="44">
        <v>130</v>
      </c>
      <c r="C37" s="60"/>
      <c r="D37" s="61">
        <v>130</v>
      </c>
      <c r="E37" s="61">
        <v>-130</v>
      </c>
      <c r="F37" s="61"/>
      <c r="G37" s="44">
        <v>0</v>
      </c>
      <c r="H37" s="44">
        <f t="shared" si="11"/>
        <v>-130</v>
      </c>
      <c r="I37" s="44"/>
      <c r="J37" s="70"/>
    </row>
    <row r="38" ht="17.25" customHeight="1" spans="1:10">
      <c r="A38" s="64" t="s">
        <v>225</v>
      </c>
      <c r="B38" s="44">
        <v>122</v>
      </c>
      <c r="C38" s="60">
        <v>40.44</v>
      </c>
      <c r="D38" s="61">
        <f>B38-C38</f>
        <v>81.56</v>
      </c>
      <c r="E38" s="61">
        <v>-81.56</v>
      </c>
      <c r="F38" s="61"/>
      <c r="G38" s="44">
        <f>SUM(B38,E38:F38)</f>
        <v>40.44</v>
      </c>
      <c r="H38" s="44">
        <f t="shared" si="11"/>
        <v>-81.56</v>
      </c>
      <c r="I38" s="44">
        <f>G38-C38</f>
        <v>0</v>
      </c>
      <c r="J38" s="70"/>
    </row>
    <row r="39" ht="17.25" customHeight="1" spans="1:10">
      <c r="A39" s="64" t="s">
        <v>226</v>
      </c>
      <c r="B39" s="44">
        <v>2.38</v>
      </c>
      <c r="C39" s="60">
        <v>0.09</v>
      </c>
      <c r="D39" s="61">
        <f>B39-C39</f>
        <v>2.29</v>
      </c>
      <c r="E39" s="61">
        <v>-2</v>
      </c>
      <c r="F39" s="61"/>
      <c r="G39" s="44">
        <f>SUM(B39,E39:F39)</f>
        <v>0.38</v>
      </c>
      <c r="H39" s="44">
        <f t="shared" si="11"/>
        <v>-2</v>
      </c>
      <c r="I39" s="44"/>
      <c r="J39" s="70"/>
    </row>
    <row r="40" ht="17.25" customHeight="1" spans="1:10">
      <c r="A40" s="64" t="s">
        <v>227</v>
      </c>
      <c r="B40" s="44"/>
      <c r="C40" s="60">
        <v>982</v>
      </c>
      <c r="D40" s="61">
        <f>B40-C40</f>
        <v>-982</v>
      </c>
      <c r="E40" s="61">
        <v>982</v>
      </c>
      <c r="F40" s="61"/>
      <c r="G40" s="44">
        <f>SUM(B40,E40:F40)</f>
        <v>982</v>
      </c>
      <c r="H40" s="44">
        <f t="shared" si="11"/>
        <v>982</v>
      </c>
      <c r="I40" s="44"/>
      <c r="J40" s="70"/>
    </row>
    <row r="41" ht="17.25" customHeight="1" spans="1:10">
      <c r="A41" s="57" t="s">
        <v>228</v>
      </c>
      <c r="B41" s="58">
        <f>SUM(B42:B44)</f>
        <v>550</v>
      </c>
      <c r="C41" s="58">
        <v>0</v>
      </c>
      <c r="D41" s="58">
        <f>SUM(D42:D44)</f>
        <v>-2603</v>
      </c>
      <c r="E41" s="58">
        <f>SUM(E42:E44)</f>
        <v>2603</v>
      </c>
      <c r="F41" s="58">
        <f>SUM(F42:F44)</f>
        <v>710</v>
      </c>
      <c r="G41" s="58">
        <f t="shared" ref="G41:G48" si="13">SUM(B41,E41:F41)</f>
        <v>3863</v>
      </c>
      <c r="H41" s="58">
        <f t="shared" ref="H41:H48" si="14">G41-B41</f>
        <v>3313</v>
      </c>
      <c r="I41" s="58">
        <f t="shared" ref="I41:I48" si="15">G41-C41</f>
        <v>3863</v>
      </c>
      <c r="J41" s="34"/>
    </row>
    <row r="42" ht="17.25" customHeight="1" spans="1:10">
      <c r="A42" s="63" t="s">
        <v>213</v>
      </c>
      <c r="B42" s="44"/>
      <c r="C42" s="61"/>
      <c r="D42" s="61"/>
      <c r="E42" s="61"/>
      <c r="F42" s="61">
        <v>710</v>
      </c>
      <c r="G42" s="44">
        <f t="shared" si="13"/>
        <v>710</v>
      </c>
      <c r="H42" s="44">
        <f t="shared" si="14"/>
        <v>710</v>
      </c>
      <c r="I42" s="44">
        <f t="shared" si="15"/>
        <v>710</v>
      </c>
      <c r="J42" s="70"/>
    </row>
    <row r="43" ht="17.25" customHeight="1" spans="1:10">
      <c r="A43" s="63" t="s">
        <v>229</v>
      </c>
      <c r="B43" s="44">
        <v>550</v>
      </c>
      <c r="C43" s="61"/>
      <c r="D43" s="61"/>
      <c r="E43" s="61"/>
      <c r="F43" s="61"/>
      <c r="G43" s="44">
        <f t="shared" si="13"/>
        <v>550</v>
      </c>
      <c r="H43" s="44">
        <f t="shared" si="14"/>
        <v>0</v>
      </c>
      <c r="I43" s="44">
        <f t="shared" si="15"/>
        <v>550</v>
      </c>
      <c r="J43" s="70"/>
    </row>
    <row r="44" ht="17.25" customHeight="1" spans="1:10">
      <c r="A44" s="63" t="s">
        <v>199</v>
      </c>
      <c r="B44" s="44"/>
      <c r="C44" s="60">
        <v>2603</v>
      </c>
      <c r="D44" s="61">
        <f>B44-C44</f>
        <v>-2603</v>
      </c>
      <c r="E44" s="61">
        <v>2603</v>
      </c>
      <c r="F44" s="61"/>
      <c r="G44" s="44">
        <f t="shared" si="13"/>
        <v>2603</v>
      </c>
      <c r="H44" s="44">
        <f t="shared" si="14"/>
        <v>2603</v>
      </c>
      <c r="I44" s="44">
        <f t="shared" si="15"/>
        <v>0</v>
      </c>
      <c r="J44" s="74"/>
    </row>
    <row r="45" ht="17.25" customHeight="1" spans="1:10">
      <c r="A45" s="57" t="s">
        <v>230</v>
      </c>
      <c r="B45" s="58">
        <f t="shared" ref="B45:I45" si="16">SUM(B46:B47)</f>
        <v>0</v>
      </c>
      <c r="C45" s="58">
        <f t="shared" si="16"/>
        <v>145</v>
      </c>
      <c r="D45" s="58">
        <f t="shared" si="16"/>
        <v>-145</v>
      </c>
      <c r="E45" s="58">
        <f t="shared" si="16"/>
        <v>145</v>
      </c>
      <c r="F45" s="58">
        <f t="shared" si="16"/>
        <v>562</v>
      </c>
      <c r="G45" s="58">
        <f t="shared" si="16"/>
        <v>707</v>
      </c>
      <c r="H45" s="58">
        <f t="shared" si="16"/>
        <v>707</v>
      </c>
      <c r="I45" s="58">
        <f t="shared" si="16"/>
        <v>562</v>
      </c>
      <c r="J45" s="34"/>
    </row>
    <row r="46" ht="20.25" customHeight="1" spans="1:10">
      <c r="A46" s="63" t="s">
        <v>213</v>
      </c>
      <c r="B46" s="44"/>
      <c r="C46" s="61"/>
      <c r="D46" s="61"/>
      <c r="E46" s="61"/>
      <c r="F46" s="61">
        <v>562</v>
      </c>
      <c r="G46" s="44">
        <f t="shared" ref="G46:G52" si="17">SUM(B46,E46:F46)</f>
        <v>562</v>
      </c>
      <c r="H46" s="44">
        <f t="shared" ref="H46:H52" si="18">G46-B46</f>
        <v>562</v>
      </c>
      <c r="I46" s="44">
        <f>G46-C46</f>
        <v>562</v>
      </c>
      <c r="J46" s="70"/>
    </row>
    <row r="47" ht="17.25" customHeight="1" spans="1:10">
      <c r="A47" s="63" t="s">
        <v>231</v>
      </c>
      <c r="B47" s="44"/>
      <c r="C47" s="60">
        <v>145</v>
      </c>
      <c r="D47" s="61">
        <f>B47-C47</f>
        <v>-145</v>
      </c>
      <c r="E47" s="61">
        <v>145</v>
      </c>
      <c r="F47" s="61"/>
      <c r="G47" s="44">
        <f t="shared" si="17"/>
        <v>145</v>
      </c>
      <c r="H47" s="44">
        <f t="shared" si="18"/>
        <v>145</v>
      </c>
      <c r="I47" s="44">
        <f>G47-C47</f>
        <v>0</v>
      </c>
      <c r="J47" s="70"/>
    </row>
    <row r="48" ht="17.25" customHeight="1" spans="1:10">
      <c r="A48" s="57" t="s">
        <v>232</v>
      </c>
      <c r="B48" s="58">
        <f>SUM(B49:B52)</f>
        <v>3348.7</v>
      </c>
      <c r="C48" s="58">
        <f>SUM(C49:C52)</f>
        <v>2100.8469</v>
      </c>
      <c r="D48" s="58">
        <f>SUM(D49:D52)</f>
        <v>1247.8531</v>
      </c>
      <c r="E48" s="58">
        <f>SUM(E49:E52)</f>
        <v>-96.6900000000001</v>
      </c>
      <c r="F48" s="58">
        <f>SUM(F49:F51)</f>
        <v>500</v>
      </c>
      <c r="G48" s="58">
        <f t="shared" si="17"/>
        <v>3752.01</v>
      </c>
      <c r="H48" s="58">
        <f t="shared" si="18"/>
        <v>403.31</v>
      </c>
      <c r="I48" s="58">
        <f>G48-C48</f>
        <v>1651.1631</v>
      </c>
      <c r="J48" s="73"/>
    </row>
    <row r="49" ht="17.25" customHeight="1" spans="1:10">
      <c r="A49" s="63" t="s">
        <v>213</v>
      </c>
      <c r="B49" s="44"/>
      <c r="C49" s="61"/>
      <c r="D49" s="61"/>
      <c r="E49" s="61"/>
      <c r="F49" s="61">
        <v>500</v>
      </c>
      <c r="G49" s="44">
        <f t="shared" si="17"/>
        <v>500</v>
      </c>
      <c r="H49" s="44">
        <f t="shared" si="18"/>
        <v>500</v>
      </c>
      <c r="I49" s="44"/>
      <c r="J49" s="70"/>
    </row>
    <row r="50" ht="17.25" customHeight="1" spans="1:10">
      <c r="A50" s="63" t="s">
        <v>233</v>
      </c>
      <c r="B50" s="44">
        <v>1348.7</v>
      </c>
      <c r="C50" s="60">
        <v>448.11</v>
      </c>
      <c r="D50" s="61">
        <f>B50-C50</f>
        <v>900.59</v>
      </c>
      <c r="E50" s="61">
        <v>-200</v>
      </c>
      <c r="F50" s="61"/>
      <c r="G50" s="44">
        <f t="shared" si="17"/>
        <v>1148.7</v>
      </c>
      <c r="H50" s="44">
        <f t="shared" si="18"/>
        <v>-200</v>
      </c>
      <c r="I50" s="44">
        <f>G50-C50</f>
        <v>700.59</v>
      </c>
      <c r="J50" s="72"/>
    </row>
    <row r="51" ht="17.25" customHeight="1" spans="1:10">
      <c r="A51" s="63" t="s">
        <v>234</v>
      </c>
      <c r="B51" s="44">
        <v>1000</v>
      </c>
      <c r="C51" s="44">
        <v>107.7369</v>
      </c>
      <c r="D51" s="61">
        <f>B51-C51</f>
        <v>892.2631</v>
      </c>
      <c r="E51" s="61">
        <v>-441.69</v>
      </c>
      <c r="F51" s="61"/>
      <c r="G51" s="44">
        <f t="shared" si="17"/>
        <v>558.31</v>
      </c>
      <c r="H51" s="44">
        <f t="shared" si="18"/>
        <v>-441.69</v>
      </c>
      <c r="I51" s="44"/>
      <c r="J51" s="72"/>
    </row>
    <row r="52" ht="17.25" customHeight="1" spans="1:10">
      <c r="A52" s="63" t="s">
        <v>235</v>
      </c>
      <c r="B52" s="44">
        <v>1000</v>
      </c>
      <c r="C52" s="44">
        <v>1545</v>
      </c>
      <c r="D52" s="61">
        <f>B52-C52</f>
        <v>-545</v>
      </c>
      <c r="E52" s="61">
        <v>545</v>
      </c>
      <c r="F52" s="61"/>
      <c r="G52" s="44">
        <f t="shared" si="17"/>
        <v>1545</v>
      </c>
      <c r="H52" s="44">
        <f t="shared" si="18"/>
        <v>545</v>
      </c>
      <c r="I52" s="44"/>
      <c r="J52" s="72"/>
    </row>
    <row r="53" ht="17.25" customHeight="1" spans="1:10">
      <c r="A53" s="57" t="s">
        <v>236</v>
      </c>
      <c r="B53" s="58">
        <f>SUM(B54:B57)</f>
        <v>0</v>
      </c>
      <c r="C53" s="58">
        <f>SUM(C54:C57)</f>
        <v>4079</v>
      </c>
      <c r="D53" s="58">
        <f>B53-C53</f>
        <v>-4079</v>
      </c>
      <c r="E53" s="58">
        <f>SUM(E54:E57)</f>
        <v>4079</v>
      </c>
      <c r="F53" s="58">
        <f>SUM(F54:F57)</f>
        <v>0</v>
      </c>
      <c r="G53" s="58">
        <f t="shared" ref="G53:G67" si="19">SUM(B53,E53:F53)</f>
        <v>4079</v>
      </c>
      <c r="H53" s="58">
        <f t="shared" ref="H53:H66" si="20">G53-B53</f>
        <v>4079</v>
      </c>
      <c r="I53" s="58">
        <f t="shared" ref="I53:I66" si="21">G53-C53</f>
        <v>0</v>
      </c>
      <c r="J53" s="77"/>
    </row>
    <row r="54" ht="17.25" customHeight="1" spans="1:10">
      <c r="A54" s="66" t="s">
        <v>237</v>
      </c>
      <c r="B54" s="44"/>
      <c r="C54" s="61"/>
      <c r="D54" s="61"/>
      <c r="E54" s="61"/>
      <c r="F54" s="61"/>
      <c r="G54" s="44">
        <f t="shared" si="19"/>
        <v>0</v>
      </c>
      <c r="H54" s="44">
        <f t="shared" si="20"/>
        <v>0</v>
      </c>
      <c r="I54" s="44">
        <f t="shared" si="21"/>
        <v>0</v>
      </c>
      <c r="J54" s="70"/>
    </row>
    <row r="55" ht="17.25" customHeight="1" spans="1:10">
      <c r="A55" s="66" t="s">
        <v>238</v>
      </c>
      <c r="B55" s="44"/>
      <c r="C55" s="60"/>
      <c r="D55" s="61">
        <f>B55-C55</f>
        <v>0</v>
      </c>
      <c r="E55" s="61"/>
      <c r="F55" s="61"/>
      <c r="G55" s="44">
        <f t="shared" si="19"/>
        <v>0</v>
      </c>
      <c r="H55" s="44">
        <f t="shared" si="20"/>
        <v>0</v>
      </c>
      <c r="I55" s="44">
        <f t="shared" si="21"/>
        <v>0</v>
      </c>
      <c r="J55" s="70"/>
    </row>
    <row r="56" ht="17.25" customHeight="1" spans="1:10">
      <c r="A56" s="66" t="s">
        <v>239</v>
      </c>
      <c r="B56" s="44"/>
      <c r="C56" s="61"/>
      <c r="D56" s="61"/>
      <c r="E56" s="61"/>
      <c r="F56" s="61"/>
      <c r="G56" s="44">
        <f t="shared" si="19"/>
        <v>0</v>
      </c>
      <c r="H56" s="44">
        <f t="shared" si="20"/>
        <v>0</v>
      </c>
      <c r="I56" s="44">
        <f t="shared" si="21"/>
        <v>0</v>
      </c>
      <c r="J56" s="70"/>
    </row>
    <row r="57" ht="17.25" customHeight="1" spans="1:10">
      <c r="A57" s="66" t="s">
        <v>235</v>
      </c>
      <c r="B57" s="44"/>
      <c r="C57" s="60">
        <f>1975+2104</f>
        <v>4079</v>
      </c>
      <c r="D57" s="61">
        <f t="shared" ref="D57:D62" si="22">B57-C57</f>
        <v>-4079</v>
      </c>
      <c r="E57" s="61">
        <f>1975+2104</f>
        <v>4079</v>
      </c>
      <c r="F57" s="61"/>
      <c r="G57" s="44">
        <f t="shared" si="19"/>
        <v>4079</v>
      </c>
      <c r="H57" s="44">
        <f t="shared" si="20"/>
        <v>4079</v>
      </c>
      <c r="I57" s="44">
        <f t="shared" si="21"/>
        <v>0</v>
      </c>
      <c r="J57" s="70"/>
    </row>
    <row r="58" ht="17.25" customHeight="1" spans="1:10">
      <c r="A58" s="57" t="s">
        <v>240</v>
      </c>
      <c r="B58" s="58">
        <f>SUM(B59:B62)</f>
        <v>237</v>
      </c>
      <c r="C58" s="58">
        <f>SUM(C59:C62)</f>
        <v>1080.46</v>
      </c>
      <c r="D58" s="58">
        <f t="shared" si="22"/>
        <v>-843.46</v>
      </c>
      <c r="E58" s="58">
        <f>SUM(E59:E62)</f>
        <v>843.46</v>
      </c>
      <c r="F58" s="58">
        <f>SUM(F59:F61)</f>
        <v>3340</v>
      </c>
      <c r="G58" s="58">
        <f t="shared" si="19"/>
        <v>4420.46</v>
      </c>
      <c r="H58" s="58">
        <f t="shared" si="20"/>
        <v>4183.46</v>
      </c>
      <c r="I58" s="58">
        <f t="shared" si="21"/>
        <v>3340</v>
      </c>
      <c r="J58" s="77"/>
    </row>
    <row r="59" ht="17.25" customHeight="1" spans="1:10">
      <c r="A59" s="63" t="s">
        <v>241</v>
      </c>
      <c r="B59" s="44">
        <v>70</v>
      </c>
      <c r="C59" s="60">
        <v>10.46</v>
      </c>
      <c r="D59" s="61">
        <f t="shared" si="22"/>
        <v>59.54</v>
      </c>
      <c r="E59" s="61">
        <v>-59.54</v>
      </c>
      <c r="F59" s="61"/>
      <c r="G59" s="44">
        <f t="shared" si="19"/>
        <v>10.46</v>
      </c>
      <c r="H59" s="44">
        <f t="shared" si="20"/>
        <v>-59.54</v>
      </c>
      <c r="I59" s="44">
        <f t="shared" si="21"/>
        <v>0</v>
      </c>
      <c r="J59" s="74"/>
    </row>
    <row r="60" ht="17.25" customHeight="1" spans="1:10">
      <c r="A60" s="63"/>
      <c r="B60" s="44"/>
      <c r="C60" s="60">
        <f>472+598</f>
        <v>1070</v>
      </c>
      <c r="D60" s="61">
        <f t="shared" si="22"/>
        <v>-1070</v>
      </c>
      <c r="E60" s="61">
        <f>472+598</f>
        <v>1070</v>
      </c>
      <c r="F60" s="61"/>
      <c r="G60" s="44">
        <f t="shared" si="19"/>
        <v>1070</v>
      </c>
      <c r="H60" s="44">
        <v>1070</v>
      </c>
      <c r="I60" s="44"/>
      <c r="J60" s="74"/>
    </row>
    <row r="61" ht="17.25" customHeight="1" spans="1:10">
      <c r="A61" s="63" t="s">
        <v>206</v>
      </c>
      <c r="B61" s="44"/>
      <c r="C61" s="61"/>
      <c r="D61" s="61">
        <f t="shared" si="22"/>
        <v>0</v>
      </c>
      <c r="E61" s="61"/>
      <c r="F61" s="61">
        <v>3340</v>
      </c>
      <c r="G61" s="44">
        <f t="shared" si="19"/>
        <v>3340</v>
      </c>
      <c r="H61" s="44">
        <f t="shared" ref="H61:H68" si="23">G61-B61</f>
        <v>3340</v>
      </c>
      <c r="I61" s="44">
        <f t="shared" ref="I61:I67" si="24">G61-C61</f>
        <v>3340</v>
      </c>
      <c r="J61" s="74"/>
    </row>
    <row r="62" ht="17.25" customHeight="1" spans="1:10">
      <c r="A62" s="63" t="s">
        <v>242</v>
      </c>
      <c r="B62" s="44">
        <v>167</v>
      </c>
      <c r="C62" s="44"/>
      <c r="D62" s="61">
        <f t="shared" si="22"/>
        <v>167</v>
      </c>
      <c r="E62" s="44">
        <v>-167</v>
      </c>
      <c r="F62" s="44"/>
      <c r="G62" s="44">
        <f t="shared" si="19"/>
        <v>0</v>
      </c>
      <c r="H62" s="44">
        <f t="shared" si="23"/>
        <v>-167</v>
      </c>
      <c r="I62" s="44">
        <f t="shared" si="24"/>
        <v>0</v>
      </c>
      <c r="J62" s="74"/>
    </row>
    <row r="63" ht="17.25" customHeight="1" spans="1:10">
      <c r="A63" s="57" t="s">
        <v>243</v>
      </c>
      <c r="B63" s="58">
        <f>SUM(B64:B65)</f>
        <v>16000</v>
      </c>
      <c r="C63" s="58">
        <f>SUM(C64:C65)</f>
        <v>226</v>
      </c>
      <c r="D63" s="58">
        <f>SUM(D64:D65)</f>
        <v>0</v>
      </c>
      <c r="E63" s="58">
        <f>SUM(E64:E65)</f>
        <v>-15774</v>
      </c>
      <c r="F63" s="58">
        <f>SUM(F64:F65)</f>
        <v>0</v>
      </c>
      <c r="G63" s="58">
        <f t="shared" si="19"/>
        <v>226</v>
      </c>
      <c r="H63" s="58">
        <f t="shared" si="23"/>
        <v>-15774</v>
      </c>
      <c r="I63" s="58">
        <f t="shared" si="24"/>
        <v>0</v>
      </c>
      <c r="J63" s="58"/>
    </row>
    <row r="64" ht="17.25" customHeight="1" spans="1:10">
      <c r="A64" s="62" t="s">
        <v>244</v>
      </c>
      <c r="B64" s="44">
        <v>16000</v>
      </c>
      <c r="C64" s="61"/>
      <c r="D64" s="61"/>
      <c r="E64" s="61">
        <v>-16000</v>
      </c>
      <c r="F64" s="61"/>
      <c r="G64" s="44">
        <f t="shared" si="19"/>
        <v>0</v>
      </c>
      <c r="H64" s="44">
        <f t="shared" si="23"/>
        <v>-16000</v>
      </c>
      <c r="I64" s="44">
        <f t="shared" si="24"/>
        <v>0</v>
      </c>
      <c r="J64" s="70"/>
    </row>
    <row r="65" ht="24" customHeight="1" spans="1:10">
      <c r="A65" s="62" t="s">
        <v>245</v>
      </c>
      <c r="B65" s="44"/>
      <c r="C65" s="61">
        <v>226</v>
      </c>
      <c r="D65" s="61"/>
      <c r="E65" s="61">
        <v>226</v>
      </c>
      <c r="F65" s="61"/>
      <c r="G65" s="44">
        <f t="shared" si="19"/>
        <v>226</v>
      </c>
      <c r="H65" s="44">
        <f t="shared" si="23"/>
        <v>226</v>
      </c>
      <c r="I65" s="44">
        <f t="shared" si="24"/>
        <v>0</v>
      </c>
      <c r="J65" s="74"/>
    </row>
    <row r="66" ht="17.25" customHeight="1" spans="1:10">
      <c r="A66" s="57" t="s">
        <v>246</v>
      </c>
      <c r="B66" s="58">
        <f>SUM(B67:B69)</f>
        <v>365.6</v>
      </c>
      <c r="C66" s="58">
        <f>SUM(C67:C69)</f>
        <v>6.7525</v>
      </c>
      <c r="D66" s="58">
        <f>SUM(D67:D69)</f>
        <v>0</v>
      </c>
      <c r="E66" s="58">
        <f>SUM(E67:E69)</f>
        <v>-358.6</v>
      </c>
      <c r="F66" s="58">
        <f>SUM(F67:F69)</f>
        <v>0</v>
      </c>
      <c r="G66" s="58">
        <f t="shared" si="19"/>
        <v>7</v>
      </c>
      <c r="H66" s="58">
        <f t="shared" si="23"/>
        <v>-358.6</v>
      </c>
      <c r="I66" s="58">
        <f t="shared" si="24"/>
        <v>0.2475</v>
      </c>
      <c r="J66" s="73"/>
    </row>
    <row r="67" ht="17.25" customHeight="1" spans="1:10">
      <c r="A67" s="62" t="s">
        <v>247</v>
      </c>
      <c r="B67" s="44">
        <v>165.6</v>
      </c>
      <c r="C67" s="61"/>
      <c r="D67" s="61"/>
      <c r="E67" s="61">
        <v>-165.6</v>
      </c>
      <c r="F67" s="61"/>
      <c r="G67" s="44">
        <f t="shared" si="19"/>
        <v>0</v>
      </c>
      <c r="H67" s="44">
        <f t="shared" si="23"/>
        <v>-165.6</v>
      </c>
      <c r="I67" s="44">
        <f t="shared" si="24"/>
        <v>0</v>
      </c>
      <c r="J67" s="72"/>
    </row>
    <row r="68" ht="17.25" customHeight="1" spans="1:10">
      <c r="A68" s="62" t="s">
        <v>199</v>
      </c>
      <c r="B68" s="44"/>
      <c r="C68" s="61">
        <v>6.7525</v>
      </c>
      <c r="D68" s="61"/>
      <c r="E68" s="61">
        <v>7</v>
      </c>
      <c r="F68" s="61"/>
      <c r="G68" s="44">
        <v>7</v>
      </c>
      <c r="H68" s="44">
        <f t="shared" si="23"/>
        <v>7</v>
      </c>
      <c r="I68" s="44"/>
      <c r="J68" s="72"/>
    </row>
    <row r="69" ht="17.25" customHeight="1" spans="1:10">
      <c r="A69" s="62" t="s">
        <v>248</v>
      </c>
      <c r="B69" s="44">
        <v>200</v>
      </c>
      <c r="C69" s="61"/>
      <c r="D69" s="61"/>
      <c r="E69" s="61">
        <v>-200</v>
      </c>
      <c r="F69" s="61"/>
      <c r="G69" s="44">
        <f>SUM(B69,E69:F69)</f>
        <v>0</v>
      </c>
      <c r="H69" s="44">
        <f t="shared" ref="H69:H75" si="25">G69-B69</f>
        <v>-200</v>
      </c>
      <c r="I69" s="44">
        <f t="shared" ref="I69:I75" si="26">G69-C69</f>
        <v>0</v>
      </c>
      <c r="J69" s="70"/>
    </row>
    <row r="70" ht="17.25" customHeight="1" spans="1:10">
      <c r="A70" s="57" t="s">
        <v>249</v>
      </c>
      <c r="B70" s="58">
        <f t="shared" ref="B70:I70" si="27">SUM(B71:B72)</f>
        <v>0</v>
      </c>
      <c r="C70" s="58">
        <f t="shared" si="27"/>
        <v>13</v>
      </c>
      <c r="D70" s="58">
        <f t="shared" si="27"/>
        <v>0</v>
      </c>
      <c r="E70" s="58">
        <f t="shared" si="27"/>
        <v>13</v>
      </c>
      <c r="F70" s="58">
        <f t="shared" si="27"/>
        <v>0</v>
      </c>
      <c r="G70" s="58">
        <f t="shared" si="27"/>
        <v>13</v>
      </c>
      <c r="H70" s="58">
        <f t="shared" si="27"/>
        <v>13</v>
      </c>
      <c r="I70" s="58">
        <f t="shared" si="27"/>
        <v>0</v>
      </c>
      <c r="J70" s="77"/>
    </row>
    <row r="71" ht="17.25" customHeight="1" spans="1:10">
      <c r="A71" s="62" t="s">
        <v>250</v>
      </c>
      <c r="B71" s="44"/>
      <c r="C71" s="61"/>
      <c r="D71" s="61"/>
      <c r="E71" s="61"/>
      <c r="F71" s="61"/>
      <c r="G71" s="44">
        <f>SUM(B71,E71:F71)</f>
        <v>0</v>
      </c>
      <c r="H71" s="44">
        <f t="shared" si="25"/>
        <v>0</v>
      </c>
      <c r="I71" s="44">
        <f t="shared" si="26"/>
        <v>0</v>
      </c>
      <c r="J71" s="70"/>
    </row>
    <row r="72" ht="17.25" customHeight="1" spans="1:10">
      <c r="A72" s="62" t="s">
        <v>203</v>
      </c>
      <c r="B72" s="44"/>
      <c r="C72" s="61">
        <v>13</v>
      </c>
      <c r="D72" s="61"/>
      <c r="E72" s="61">
        <v>13</v>
      </c>
      <c r="F72" s="61"/>
      <c r="G72" s="44">
        <f>SUM(B72,E72:F72)</f>
        <v>13</v>
      </c>
      <c r="H72" s="44">
        <f t="shared" si="25"/>
        <v>13</v>
      </c>
      <c r="I72" s="44">
        <f t="shared" si="26"/>
        <v>0</v>
      </c>
      <c r="J72" s="70"/>
    </row>
    <row r="73" s="1" customFormat="1" ht="17.25" customHeight="1" spans="1:10">
      <c r="A73" s="57" t="s">
        <v>251</v>
      </c>
      <c r="B73" s="58">
        <f t="shared" ref="B73:I73" si="28">SUM(B74:B75)</f>
        <v>0</v>
      </c>
      <c r="C73" s="58">
        <f t="shared" si="28"/>
        <v>0</v>
      </c>
      <c r="D73" s="58">
        <f t="shared" si="28"/>
        <v>0</v>
      </c>
      <c r="E73" s="58">
        <f t="shared" si="28"/>
        <v>0</v>
      </c>
      <c r="F73" s="58">
        <f t="shared" si="28"/>
        <v>0</v>
      </c>
      <c r="G73" s="58">
        <f t="shared" si="28"/>
        <v>0</v>
      </c>
      <c r="H73" s="58">
        <f t="shared" si="28"/>
        <v>0</v>
      </c>
      <c r="I73" s="58">
        <f t="shared" si="28"/>
        <v>0</v>
      </c>
      <c r="J73" s="77"/>
    </row>
    <row r="74" s="1" customFormat="1" ht="17.25" customHeight="1" spans="1:10">
      <c r="A74" s="62">
        <v>-1</v>
      </c>
      <c r="B74" s="44"/>
      <c r="C74" s="61"/>
      <c r="D74" s="61"/>
      <c r="E74" s="61"/>
      <c r="F74" s="61"/>
      <c r="G74" s="44">
        <f>SUM(B74,E74:F74)</f>
        <v>0</v>
      </c>
      <c r="H74" s="44">
        <f t="shared" si="25"/>
        <v>0</v>
      </c>
      <c r="I74" s="44">
        <f t="shared" si="26"/>
        <v>0</v>
      </c>
      <c r="J74" s="70"/>
    </row>
    <row r="75" s="1" customFormat="1" ht="17.25" customHeight="1" spans="1:10">
      <c r="A75" s="62" t="s">
        <v>203</v>
      </c>
      <c r="B75" s="44"/>
      <c r="C75" s="61"/>
      <c r="D75" s="61"/>
      <c r="E75" s="61"/>
      <c r="F75" s="61"/>
      <c r="G75" s="44">
        <f>SUM(B75,E75:F75)</f>
        <v>0</v>
      </c>
      <c r="H75" s="44">
        <f t="shared" si="25"/>
        <v>0</v>
      </c>
      <c r="I75" s="44">
        <f t="shared" si="26"/>
        <v>0</v>
      </c>
      <c r="J75" s="70"/>
    </row>
    <row r="76" ht="17.25" customHeight="1" spans="1:10">
      <c r="A76" s="57" t="s">
        <v>252</v>
      </c>
      <c r="B76" s="58">
        <f t="shared" ref="B76:I76" si="29">SUM(B77:B78)</f>
        <v>0</v>
      </c>
      <c r="C76" s="58">
        <f t="shared" si="29"/>
        <v>0</v>
      </c>
      <c r="D76" s="58">
        <f t="shared" si="29"/>
        <v>0</v>
      </c>
      <c r="E76" s="58">
        <f t="shared" si="29"/>
        <v>0</v>
      </c>
      <c r="F76" s="58">
        <f t="shared" si="29"/>
        <v>0</v>
      </c>
      <c r="G76" s="58">
        <f t="shared" si="29"/>
        <v>0</v>
      </c>
      <c r="H76" s="58">
        <f t="shared" si="29"/>
        <v>0</v>
      </c>
      <c r="I76" s="58">
        <f t="shared" si="29"/>
        <v>0</v>
      </c>
      <c r="J76" s="73"/>
    </row>
    <row r="77" ht="17.25" customHeight="1" spans="1:10">
      <c r="A77" s="62" t="s">
        <v>250</v>
      </c>
      <c r="B77" s="61"/>
      <c r="C77" s="61"/>
      <c r="D77" s="61"/>
      <c r="E77" s="61"/>
      <c r="F77" s="61"/>
      <c r="G77" s="44">
        <f>SUM(B77,E77:F77)</f>
        <v>0</v>
      </c>
      <c r="H77" s="44">
        <f>G77-B77</f>
        <v>0</v>
      </c>
      <c r="I77" s="44">
        <f>G77-C77</f>
        <v>0</v>
      </c>
      <c r="J77" s="84"/>
    </row>
    <row r="78" ht="17.25" customHeight="1" spans="1:10">
      <c r="A78" s="62" t="s">
        <v>253</v>
      </c>
      <c r="B78" s="61"/>
      <c r="C78" s="60"/>
      <c r="D78" s="61">
        <f>B78-C78</f>
        <v>0</v>
      </c>
      <c r="E78" s="61"/>
      <c r="F78" s="61"/>
      <c r="G78" s="44">
        <f>SUM(B78,E78:F78)</f>
        <v>0</v>
      </c>
      <c r="H78" s="44">
        <f>G78-B78</f>
        <v>0</v>
      </c>
      <c r="I78" s="44">
        <f>G78-C78</f>
        <v>0</v>
      </c>
      <c r="J78" s="84"/>
    </row>
    <row r="79" ht="17.25" customHeight="1" spans="1:10">
      <c r="A79" s="62" t="s">
        <v>254</v>
      </c>
      <c r="B79" s="61"/>
      <c r="C79" s="61"/>
      <c r="D79" s="61"/>
      <c r="E79" s="61"/>
      <c r="F79" s="61"/>
      <c r="G79" s="44"/>
      <c r="H79" s="44"/>
      <c r="I79" s="44"/>
      <c r="J79" s="84"/>
    </row>
    <row r="80" ht="17.25" customHeight="1" spans="1:10">
      <c r="A80" s="57" t="s">
        <v>255</v>
      </c>
      <c r="B80" s="78">
        <f>SUM(B81,B84)</f>
        <v>716</v>
      </c>
      <c r="C80" s="78">
        <f>SUM(C81:C84)</f>
        <v>304</v>
      </c>
      <c r="D80" s="78">
        <f>SUM(D81,D84)</f>
        <v>716</v>
      </c>
      <c r="E80" s="78">
        <f>SUM(E81:E84)</f>
        <v>-412</v>
      </c>
      <c r="F80" s="78">
        <f>SUM(F81:F84,F84)</f>
        <v>610</v>
      </c>
      <c r="G80" s="78">
        <f>SUM(G81:G84)</f>
        <v>304</v>
      </c>
      <c r="H80" s="78">
        <f>SUM(H81:H84)</f>
        <v>-412</v>
      </c>
      <c r="I80" s="78">
        <f>SUM(I81,I84)</f>
        <v>0</v>
      </c>
      <c r="J80" s="57"/>
    </row>
    <row r="81" ht="17.25" customHeight="1" spans="1:10">
      <c r="A81" s="62" t="s">
        <v>256</v>
      </c>
      <c r="B81" s="44">
        <v>396</v>
      </c>
      <c r="C81" s="60"/>
      <c r="D81" s="61">
        <f>B81-C81</f>
        <v>396</v>
      </c>
      <c r="E81" s="61">
        <v>-396</v>
      </c>
      <c r="F81" s="61"/>
      <c r="G81" s="44">
        <f>SUM(B81,E81:F81)</f>
        <v>0</v>
      </c>
      <c r="H81" s="44">
        <f>G81-B81</f>
        <v>-396</v>
      </c>
      <c r="I81" s="44">
        <f>G81-C81</f>
        <v>0</v>
      </c>
      <c r="J81" s="84"/>
    </row>
    <row r="82" ht="17.25" customHeight="1" spans="1:10">
      <c r="A82" s="62" t="s">
        <v>203</v>
      </c>
      <c r="B82" s="44"/>
      <c r="C82" s="60">
        <v>304</v>
      </c>
      <c r="D82" s="61"/>
      <c r="E82" s="61">
        <v>304</v>
      </c>
      <c r="F82" s="61"/>
      <c r="G82" s="44">
        <v>304</v>
      </c>
      <c r="H82" s="44">
        <v>304</v>
      </c>
      <c r="I82" s="44"/>
      <c r="J82" s="84"/>
    </row>
    <row r="83" ht="17.25" customHeight="1" spans="1:10">
      <c r="A83" s="62" t="s">
        <v>257</v>
      </c>
      <c r="B83" s="44"/>
      <c r="C83" s="60"/>
      <c r="D83" s="61"/>
      <c r="E83" s="61"/>
      <c r="F83" s="61">
        <v>610</v>
      </c>
      <c r="G83" s="44"/>
      <c r="H83" s="44"/>
      <c r="I83" s="44"/>
      <c r="J83" s="84"/>
    </row>
    <row r="84" ht="17.25" customHeight="1" spans="1:10">
      <c r="A84" s="62" t="s">
        <v>258</v>
      </c>
      <c r="B84" s="44">
        <v>320</v>
      </c>
      <c r="C84" s="60"/>
      <c r="D84" s="61">
        <f>B84-C84</f>
        <v>320</v>
      </c>
      <c r="E84" s="61">
        <v>-320</v>
      </c>
      <c r="F84" s="61"/>
      <c r="G84" s="44">
        <f>SUM(B84,E84:F84)</f>
        <v>0</v>
      </c>
      <c r="H84" s="44">
        <f>G84-B84</f>
        <v>-320</v>
      </c>
      <c r="I84" s="44">
        <f>G84-C84</f>
        <v>0</v>
      </c>
      <c r="J84" s="84"/>
    </row>
    <row r="85" ht="17.25" customHeight="1" spans="1:10">
      <c r="A85" s="57" t="s">
        <v>259</v>
      </c>
      <c r="B85" s="58"/>
      <c r="C85" s="58"/>
      <c r="D85" s="58">
        <f>B85-C85</f>
        <v>0</v>
      </c>
      <c r="E85" s="58"/>
      <c r="F85" s="58"/>
      <c r="G85" s="58">
        <f>SUM(B85,E85:F85)</f>
        <v>0</v>
      </c>
      <c r="H85" s="58">
        <f>G85-B85</f>
        <v>0</v>
      </c>
      <c r="I85" s="58">
        <f>G85-C85</f>
        <v>0</v>
      </c>
      <c r="J85" s="73"/>
    </row>
    <row r="86" ht="17.25" customHeight="1" spans="1:10">
      <c r="A86" s="57" t="s">
        <v>260</v>
      </c>
      <c r="B86" s="58">
        <f t="shared" ref="B86:I86" si="30">SUM(B87:B91)</f>
        <v>33873</v>
      </c>
      <c r="C86" s="58">
        <f t="shared" si="30"/>
        <v>13040.2</v>
      </c>
      <c r="D86" s="58">
        <f t="shared" si="30"/>
        <v>20936</v>
      </c>
      <c r="E86" s="58">
        <f t="shared" si="30"/>
        <v>-18833</v>
      </c>
      <c r="F86" s="58">
        <f t="shared" si="30"/>
        <v>0</v>
      </c>
      <c r="G86" s="58">
        <f t="shared" si="30"/>
        <v>11816</v>
      </c>
      <c r="H86" s="58">
        <f t="shared" si="30"/>
        <v>-22057</v>
      </c>
      <c r="I86" s="58">
        <f t="shared" si="30"/>
        <v>2000</v>
      </c>
      <c r="J86" s="58"/>
    </row>
    <row r="87" ht="17.25" customHeight="1" spans="1:10">
      <c r="A87" s="79" t="s">
        <v>261</v>
      </c>
      <c r="B87" s="44"/>
      <c r="C87" s="61">
        <v>4362</v>
      </c>
      <c r="D87" s="61">
        <f>B87-C87</f>
        <v>-4362</v>
      </c>
      <c r="E87" s="61">
        <v>4362</v>
      </c>
      <c r="F87" s="61"/>
      <c r="G87" s="44">
        <f>SUM(B87,E87:F87)</f>
        <v>4362</v>
      </c>
      <c r="H87" s="44">
        <f>G87-B87</f>
        <v>4362</v>
      </c>
      <c r="I87" s="44">
        <f>G87-C87</f>
        <v>0</v>
      </c>
      <c r="J87" s="85"/>
    </row>
    <row r="88" ht="17.25" customHeight="1" spans="1:10">
      <c r="A88" s="79"/>
      <c r="B88" s="44"/>
      <c r="C88" s="61">
        <v>103.2</v>
      </c>
      <c r="D88" s="61"/>
      <c r="E88" s="61">
        <v>103</v>
      </c>
      <c r="F88" s="61"/>
      <c r="G88" s="44">
        <v>103</v>
      </c>
      <c r="H88" s="44">
        <v>103</v>
      </c>
      <c r="I88" s="44"/>
      <c r="J88" s="85"/>
    </row>
    <row r="89" ht="17.25" customHeight="1" spans="1:10">
      <c r="A89" s="79" t="s">
        <v>262</v>
      </c>
      <c r="B89" s="44">
        <v>5000</v>
      </c>
      <c r="C89" s="61"/>
      <c r="D89" s="61">
        <f>B89-C89</f>
        <v>5000</v>
      </c>
      <c r="E89" s="61">
        <v>-5000</v>
      </c>
      <c r="F89" s="61"/>
      <c r="G89" s="44">
        <v>0</v>
      </c>
      <c r="H89" s="44">
        <f>G89-B89</f>
        <v>-5000</v>
      </c>
      <c r="I89" s="44">
        <f>G89-C89</f>
        <v>0</v>
      </c>
      <c r="J89" s="86"/>
    </row>
    <row r="90" ht="17.25" customHeight="1" spans="1:10">
      <c r="A90" s="79" t="s">
        <v>263</v>
      </c>
      <c r="B90" s="44"/>
      <c r="C90" s="61">
        <v>3224</v>
      </c>
      <c r="D90" s="61">
        <f>B90-C90</f>
        <v>-3224</v>
      </c>
      <c r="E90" s="61">
        <v>3224</v>
      </c>
      <c r="F90" s="61"/>
      <c r="G90" s="44"/>
      <c r="H90" s="44"/>
      <c r="I90" s="44"/>
      <c r="J90" s="86"/>
    </row>
    <row r="91" ht="17.25" customHeight="1" spans="1:10">
      <c r="A91" s="79" t="s">
        <v>264</v>
      </c>
      <c r="B91" s="44">
        <v>28873</v>
      </c>
      <c r="C91" s="61">
        <v>5351</v>
      </c>
      <c r="D91" s="61">
        <f>B91-C91</f>
        <v>23522</v>
      </c>
      <c r="E91" s="61">
        <v>-21522</v>
      </c>
      <c r="F91" s="80"/>
      <c r="G91" s="44">
        <f>SUM(B91,E91:F91)</f>
        <v>7351</v>
      </c>
      <c r="H91" s="44">
        <f>G91-B91</f>
        <v>-21522</v>
      </c>
      <c r="I91" s="44">
        <f>G91-C91</f>
        <v>2000</v>
      </c>
      <c r="J91" s="70" t="s">
        <v>265</v>
      </c>
    </row>
    <row r="92" spans="3:6">
      <c r="C92" s="81" t="s">
        <v>113</v>
      </c>
      <c r="D92" s="81"/>
      <c r="E92" s="82"/>
      <c r="F92" s="81"/>
    </row>
    <row r="93" spans="3:6">
      <c r="C93" s="81"/>
      <c r="D93" s="81"/>
      <c r="E93" s="81"/>
      <c r="F93" s="81"/>
    </row>
    <row r="94" spans="3:6">
      <c r="C94" s="81"/>
      <c r="D94" s="81"/>
      <c r="E94" s="81"/>
      <c r="F94" s="81"/>
    </row>
    <row r="95" spans="2:6">
      <c r="B95" s="2" t="s">
        <v>266</v>
      </c>
      <c r="C95" s="83" t="e">
        <f>SUM(C72,C67,C65,C84,#REF!,C57,C50,C47,C44,C38,C27,C23,C16,C13,C12)</f>
        <v>#REF!</v>
      </c>
      <c r="D95" s="81"/>
      <c r="E95" s="81"/>
      <c r="F95" s="81"/>
    </row>
  </sheetData>
  <autoFilter ref="A7:J92">
    <extLst/>
  </autoFilter>
  <mergeCells count="5">
    <mergeCell ref="A1:J1"/>
    <mergeCell ref="B3:D3"/>
    <mergeCell ref="E3:I3"/>
    <mergeCell ref="A3:A4"/>
    <mergeCell ref="J3:J4"/>
  </mergeCells>
  <pageMargins left="0.984027777777778" right="0" top="0.511805555555556" bottom="0.393055555555556" header="0.511805555555556" footer="0.313888888888889"/>
  <pageSetup paperSize="9" scale="85" orientation="landscape" horizontalDpi="1200" verticalDpi="1200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R45"/>
  <sheetViews>
    <sheetView workbookViewId="0">
      <selection activeCell="K7" sqref="K7"/>
    </sheetView>
  </sheetViews>
  <sheetFormatPr defaultColWidth="9" defaultRowHeight="12.75"/>
  <cols>
    <col min="1" max="1" width="27.875" style="1" customWidth="1"/>
    <col min="2" max="2" width="8.875" style="2" customWidth="1"/>
    <col min="3" max="4" width="9.25" style="1" customWidth="1"/>
    <col min="5" max="6" width="16.5" style="3" customWidth="1"/>
    <col min="7" max="7" width="10.375" style="3" hidden="1" customWidth="1"/>
    <col min="8" max="8" width="8.875" style="1" customWidth="1"/>
    <col min="9" max="9" width="2.375" style="1" customWidth="1"/>
    <col min="10" max="10" width="9.5" style="3" customWidth="1"/>
    <col min="11" max="16383" width="9" style="1"/>
  </cols>
  <sheetData>
    <row r="1" ht="21.75" customHeight="1" spans="1:9">
      <c r="A1" s="4" t="s">
        <v>267</v>
      </c>
      <c r="B1" s="4"/>
      <c r="C1" s="4"/>
      <c r="D1" s="4"/>
      <c r="E1" s="4"/>
      <c r="F1" s="4"/>
      <c r="G1" s="4"/>
      <c r="H1" s="4"/>
      <c r="I1" s="4"/>
    </row>
    <row r="2" ht="15.75" customHeight="1" spans="1:8">
      <c r="A2" s="2" t="s">
        <v>1</v>
      </c>
      <c r="H2" s="2" t="s">
        <v>115</v>
      </c>
    </row>
    <row r="3" ht="14.25" customHeight="1" spans="1:9">
      <c r="A3" s="5" t="s">
        <v>268</v>
      </c>
      <c r="B3" s="6" t="s">
        <v>269</v>
      </c>
      <c r="C3" s="6" t="s">
        <v>270</v>
      </c>
      <c r="D3" s="6" t="s">
        <v>271</v>
      </c>
      <c r="E3" s="7" t="s">
        <v>272</v>
      </c>
      <c r="F3" s="7"/>
      <c r="G3" s="7"/>
      <c r="H3" s="7"/>
      <c r="I3" s="8"/>
    </row>
    <row r="4" ht="29" customHeight="1" spans="1:14">
      <c r="A4" s="9"/>
      <c r="B4" s="10"/>
      <c r="C4" s="10"/>
      <c r="D4" s="10"/>
      <c r="E4" s="11" t="s">
        <v>273</v>
      </c>
      <c r="F4" s="11" t="s">
        <v>274</v>
      </c>
      <c r="G4" s="11" t="s">
        <v>275</v>
      </c>
      <c r="H4" s="11" t="s">
        <v>276</v>
      </c>
      <c r="I4" s="12"/>
      <c r="N4" s="1">
        <f>L9/L6</f>
        <v>0.605655261459006</v>
      </c>
    </row>
    <row r="5" ht="17.25" customHeight="1" spans="1:12">
      <c r="A5" s="13" t="s">
        <v>277</v>
      </c>
      <c r="B5" s="14">
        <f t="shared" ref="B5:F5" si="0">SUM(B6:B7)</f>
        <v>212300</v>
      </c>
      <c r="C5" s="14">
        <f t="shared" si="0"/>
        <v>173227.5</v>
      </c>
      <c r="D5" s="14">
        <f t="shared" si="0"/>
        <v>173227.5</v>
      </c>
      <c r="E5" s="14">
        <f t="shared" si="0"/>
        <v>202000</v>
      </c>
      <c r="F5" s="14">
        <f t="shared" si="0"/>
        <v>202000</v>
      </c>
      <c r="G5" s="15">
        <f t="shared" ref="G5:G35" si="1">E5-B5</f>
        <v>-10300</v>
      </c>
      <c r="H5" s="16">
        <f t="shared" ref="H5:H27" si="2">E5/J5-1</f>
        <v>-0.00304761434723066</v>
      </c>
      <c r="I5" s="17"/>
      <c r="J5" s="14">
        <f>SUM(J6:J7)</f>
        <v>202617.5</v>
      </c>
      <c r="L5" s="31">
        <f t="shared" ref="L5:L27" si="3">E5-D5</f>
        <v>28772.5</v>
      </c>
    </row>
    <row r="6" ht="17.25" customHeight="1" spans="1:15">
      <c r="A6" s="18" t="s">
        <v>278</v>
      </c>
      <c r="B6" s="19">
        <f t="shared" ref="B6:F6" si="4">SUM(B9,B30)</f>
        <v>172300</v>
      </c>
      <c r="C6" s="19">
        <f t="shared" si="4"/>
        <v>122337.5</v>
      </c>
      <c r="D6" s="19">
        <f t="shared" si="4"/>
        <v>122337.5</v>
      </c>
      <c r="E6" s="19">
        <f t="shared" si="4"/>
        <v>141700</v>
      </c>
      <c r="F6" s="19">
        <f t="shared" si="4"/>
        <v>141700</v>
      </c>
      <c r="G6" s="20">
        <f t="shared" si="1"/>
        <v>-30600</v>
      </c>
      <c r="H6" s="21">
        <f t="shared" si="2"/>
        <v>-0.139342146421164</v>
      </c>
      <c r="I6" s="22"/>
      <c r="J6" s="19">
        <f>SUM(J9,J30)</f>
        <v>164641.5</v>
      </c>
      <c r="L6" s="31">
        <f t="shared" si="3"/>
        <v>19362.5</v>
      </c>
      <c r="O6" s="31">
        <f t="shared" ref="O6:O13" si="5">E6-D6</f>
        <v>19362.5</v>
      </c>
    </row>
    <row r="7" ht="17.25" customHeight="1" spans="1:15">
      <c r="A7" s="18" t="s">
        <v>279</v>
      </c>
      <c r="B7" s="19">
        <f t="shared" ref="B7:F7" si="6">SUM(B21:B23,B25:B29)-B24</f>
        <v>40000</v>
      </c>
      <c r="C7" s="19">
        <f t="shared" si="6"/>
        <v>50890</v>
      </c>
      <c r="D7" s="19">
        <f t="shared" si="6"/>
        <v>50890</v>
      </c>
      <c r="E7" s="19">
        <f t="shared" si="6"/>
        <v>60300</v>
      </c>
      <c r="F7" s="19">
        <f t="shared" si="6"/>
        <v>60300</v>
      </c>
      <c r="G7" s="20">
        <f t="shared" si="1"/>
        <v>20300</v>
      </c>
      <c r="H7" s="21">
        <f t="shared" si="2"/>
        <v>0.587844954708237</v>
      </c>
      <c r="I7" s="23"/>
      <c r="J7" s="19">
        <f>SUM(J21:J23,J25:J29)-J24</f>
        <v>37976</v>
      </c>
      <c r="L7" s="31">
        <f t="shared" si="3"/>
        <v>9410</v>
      </c>
      <c r="O7" s="31">
        <f t="shared" si="5"/>
        <v>9410</v>
      </c>
    </row>
    <row r="8" ht="17.25" customHeight="1" spans="1:18">
      <c r="A8" s="13" t="s">
        <v>280</v>
      </c>
      <c r="B8" s="14">
        <f t="shared" ref="B8:F8" si="7">SUM(B9:B10)</f>
        <v>137900</v>
      </c>
      <c r="C8" s="14">
        <f t="shared" si="7"/>
        <v>116763</v>
      </c>
      <c r="D8" s="14">
        <f t="shared" si="7"/>
        <v>116763</v>
      </c>
      <c r="E8" s="14">
        <f t="shared" si="7"/>
        <v>137900</v>
      </c>
      <c r="F8" s="14">
        <f t="shared" si="7"/>
        <v>137900</v>
      </c>
      <c r="G8" s="15">
        <f t="shared" si="1"/>
        <v>0</v>
      </c>
      <c r="H8" s="16">
        <f t="shared" si="2"/>
        <v>0.0451403625780635</v>
      </c>
      <c r="I8" s="24"/>
      <c r="J8" s="14">
        <f>SUM(J9:J10)</f>
        <v>131944</v>
      </c>
      <c r="L8" s="31">
        <f t="shared" si="3"/>
        <v>21137</v>
      </c>
      <c r="O8" s="31">
        <f t="shared" si="5"/>
        <v>21137</v>
      </c>
      <c r="R8" s="31">
        <f>SUM(D10:D11)</f>
        <v>115291</v>
      </c>
    </row>
    <row r="9" ht="17.25" customHeight="1" spans="1:18">
      <c r="A9" s="18" t="s">
        <v>278</v>
      </c>
      <c r="B9" s="19">
        <f t="shared" ref="B9:F9" si="8">SUM(B13,B14,B15,B16,B17,B18,B19,B24)</f>
        <v>97900</v>
      </c>
      <c r="C9" s="19">
        <f t="shared" si="8"/>
        <v>65873</v>
      </c>
      <c r="D9" s="19">
        <f t="shared" si="8"/>
        <v>65873</v>
      </c>
      <c r="E9" s="19">
        <f t="shared" si="8"/>
        <v>77600</v>
      </c>
      <c r="F9" s="19">
        <f t="shared" si="8"/>
        <v>77600</v>
      </c>
      <c r="G9" s="20">
        <f t="shared" si="1"/>
        <v>-20300</v>
      </c>
      <c r="H9" s="21">
        <f t="shared" si="2"/>
        <v>-0.174186957262047</v>
      </c>
      <c r="I9" s="17"/>
      <c r="J9" s="19">
        <f>SUM(J13,J14,J15,J16,J17,J18,J19,J24)</f>
        <v>93968</v>
      </c>
      <c r="L9" s="31">
        <f t="shared" si="3"/>
        <v>11727</v>
      </c>
      <c r="O9" s="31">
        <f t="shared" si="5"/>
        <v>11727</v>
      </c>
      <c r="R9" s="31">
        <f>SUM(D6:D7)</f>
        <v>173227.5</v>
      </c>
    </row>
    <row r="10" ht="17.25" customHeight="1" spans="1:15">
      <c r="A10" s="18" t="s">
        <v>279</v>
      </c>
      <c r="B10" s="19">
        <f t="shared" ref="B10:F10" si="9">B7</f>
        <v>40000</v>
      </c>
      <c r="C10" s="19">
        <f t="shared" si="9"/>
        <v>50890</v>
      </c>
      <c r="D10" s="19">
        <f t="shared" si="9"/>
        <v>50890</v>
      </c>
      <c r="E10" s="19">
        <f t="shared" si="9"/>
        <v>60300</v>
      </c>
      <c r="F10" s="19">
        <f t="shared" si="9"/>
        <v>60300</v>
      </c>
      <c r="G10" s="20">
        <f t="shared" si="1"/>
        <v>20300</v>
      </c>
      <c r="H10" s="21">
        <f t="shared" si="2"/>
        <v>0.587844954708237</v>
      </c>
      <c r="I10" s="22"/>
      <c r="J10" s="19">
        <f>J7</f>
        <v>37976</v>
      </c>
      <c r="L10" s="31">
        <f t="shared" si="3"/>
        <v>9410</v>
      </c>
      <c r="O10" s="31">
        <f t="shared" si="5"/>
        <v>9410</v>
      </c>
    </row>
    <row r="11" ht="17.25" customHeight="1" spans="1:18">
      <c r="A11" s="13" t="s">
        <v>281</v>
      </c>
      <c r="B11" s="14">
        <f t="shared" ref="B11:F11" si="10">SUM(B12,B15:B16,B17:B19)</f>
        <v>95600</v>
      </c>
      <c r="C11" s="14">
        <f t="shared" si="10"/>
        <v>64401</v>
      </c>
      <c r="D11" s="14">
        <f t="shared" si="10"/>
        <v>64401</v>
      </c>
      <c r="E11" s="14">
        <f t="shared" si="10"/>
        <v>75800</v>
      </c>
      <c r="F11" s="14">
        <f t="shared" si="10"/>
        <v>75800</v>
      </c>
      <c r="G11" s="15">
        <f t="shared" si="1"/>
        <v>-19800</v>
      </c>
      <c r="H11" s="16">
        <f t="shared" si="2"/>
        <v>-0.174022011550616</v>
      </c>
      <c r="I11" s="22"/>
      <c r="J11" s="14">
        <f>SUM(J12,J15:J16,J17:J19)</f>
        <v>91770</v>
      </c>
      <c r="L11" s="31">
        <f t="shared" si="3"/>
        <v>11399</v>
      </c>
      <c r="O11" s="31">
        <f t="shared" si="5"/>
        <v>11399</v>
      </c>
      <c r="R11" s="1">
        <f>R8/R9</f>
        <v>0.665546752103448</v>
      </c>
    </row>
    <row r="12" ht="17.25" customHeight="1" spans="1:18">
      <c r="A12" s="18" t="s">
        <v>282</v>
      </c>
      <c r="B12" s="19">
        <f t="shared" ref="B12:F12" si="11">SUM(B13:B14)</f>
        <v>35250</v>
      </c>
      <c r="C12" s="19">
        <f t="shared" si="11"/>
        <v>21037</v>
      </c>
      <c r="D12" s="19">
        <f t="shared" si="11"/>
        <v>21037</v>
      </c>
      <c r="E12" s="19">
        <f t="shared" si="11"/>
        <v>27700</v>
      </c>
      <c r="F12" s="19">
        <f t="shared" si="11"/>
        <v>27700</v>
      </c>
      <c r="G12" s="20">
        <f t="shared" si="1"/>
        <v>-7550</v>
      </c>
      <c r="H12" s="21">
        <f t="shared" si="2"/>
        <v>-0.134645423305217</v>
      </c>
      <c r="I12" s="22"/>
      <c r="J12" s="19">
        <f>SUM(J13:J14)</f>
        <v>32010</v>
      </c>
      <c r="L12" s="31">
        <f t="shared" si="3"/>
        <v>6663</v>
      </c>
      <c r="O12" s="31">
        <f t="shared" si="5"/>
        <v>6663</v>
      </c>
      <c r="R12" s="1">
        <v>7500</v>
      </c>
    </row>
    <row r="13" ht="17.25" customHeight="1" spans="1:18">
      <c r="A13" s="18" t="s">
        <v>283</v>
      </c>
      <c r="B13" s="43">
        <v>35250</v>
      </c>
      <c r="C13" s="20">
        <v>21037</v>
      </c>
      <c r="D13" s="20">
        <v>21037</v>
      </c>
      <c r="E13" s="20">
        <v>27700</v>
      </c>
      <c r="F13" s="20">
        <v>27700</v>
      </c>
      <c r="G13" s="20">
        <f t="shared" si="1"/>
        <v>-7550</v>
      </c>
      <c r="H13" s="21">
        <f t="shared" si="2"/>
        <v>-0.134645423305217</v>
      </c>
      <c r="I13" s="25"/>
      <c r="J13" s="32">
        <v>32010</v>
      </c>
      <c r="K13" s="33"/>
      <c r="L13" s="31">
        <f t="shared" si="3"/>
        <v>6663</v>
      </c>
      <c r="M13" s="34"/>
      <c r="O13" s="31">
        <f t="shared" si="5"/>
        <v>6663</v>
      </c>
      <c r="R13" s="1">
        <f>R11*R12</f>
        <v>4991.60064077586</v>
      </c>
    </row>
    <row r="14" ht="17.25" customHeight="1" spans="1:13">
      <c r="A14" s="18" t="s">
        <v>284</v>
      </c>
      <c r="B14" s="19"/>
      <c r="C14" s="20"/>
      <c r="D14" s="20"/>
      <c r="E14" s="20"/>
      <c r="F14" s="20"/>
      <c r="G14" s="20">
        <f t="shared" si="1"/>
        <v>0</v>
      </c>
      <c r="H14" s="21" t="e">
        <f t="shared" si="2"/>
        <v>#DIV/0!</v>
      </c>
      <c r="I14" s="25"/>
      <c r="J14" s="32"/>
      <c r="K14" s="34"/>
      <c r="L14" s="31">
        <f t="shared" si="3"/>
        <v>0</v>
      </c>
      <c r="M14" s="35"/>
    </row>
    <row r="15" ht="17.25" customHeight="1" spans="1:15">
      <c r="A15" s="18" t="s">
        <v>285</v>
      </c>
      <c r="B15" s="19">
        <v>0</v>
      </c>
      <c r="C15" s="20"/>
      <c r="D15" s="20"/>
      <c r="E15" s="20"/>
      <c r="F15" s="20"/>
      <c r="G15" s="20">
        <f t="shared" si="1"/>
        <v>0</v>
      </c>
      <c r="H15" s="21" t="e">
        <f t="shared" si="2"/>
        <v>#DIV/0!</v>
      </c>
      <c r="I15" s="25"/>
      <c r="J15" s="36"/>
      <c r="K15" s="34"/>
      <c r="L15" s="31">
        <f t="shared" si="3"/>
        <v>0</v>
      </c>
      <c r="M15" s="34"/>
      <c r="O15" s="31">
        <f t="shared" ref="O15:O27" si="12">E15-D15</f>
        <v>0</v>
      </c>
    </row>
    <row r="16" ht="17.25" customHeight="1" spans="1:13">
      <c r="A16" s="18" t="s">
        <v>286</v>
      </c>
      <c r="B16" s="44">
        <v>14600</v>
      </c>
      <c r="C16" s="20">
        <v>15843</v>
      </c>
      <c r="D16" s="20">
        <v>15843</v>
      </c>
      <c r="E16" s="20">
        <v>15900</v>
      </c>
      <c r="F16" s="20">
        <v>15900</v>
      </c>
      <c r="G16" s="20">
        <f t="shared" si="1"/>
        <v>1300</v>
      </c>
      <c r="H16" s="21">
        <f t="shared" si="2"/>
        <v>0.141831238779174</v>
      </c>
      <c r="I16" s="25"/>
      <c r="J16" s="36">
        <v>13925</v>
      </c>
      <c r="K16" s="34"/>
      <c r="L16" s="31">
        <f t="shared" si="3"/>
        <v>57</v>
      </c>
      <c r="M16" s="34"/>
    </row>
    <row r="17" ht="17.25" customHeight="1" spans="1:15">
      <c r="A17" s="18" t="s">
        <v>287</v>
      </c>
      <c r="B17" s="44">
        <v>7880</v>
      </c>
      <c r="C17" s="20">
        <v>6342</v>
      </c>
      <c r="D17" s="20">
        <v>6342</v>
      </c>
      <c r="E17" s="20">
        <v>6700</v>
      </c>
      <c r="F17" s="20">
        <v>6700</v>
      </c>
      <c r="G17" s="20">
        <f t="shared" si="1"/>
        <v>-1180</v>
      </c>
      <c r="H17" s="21">
        <f t="shared" si="2"/>
        <v>-0.198180947821924</v>
      </c>
      <c r="I17" s="25"/>
      <c r="J17" s="37">
        <v>8356</v>
      </c>
      <c r="K17" s="34"/>
      <c r="L17" s="31">
        <f t="shared" si="3"/>
        <v>358</v>
      </c>
      <c r="M17" s="34"/>
      <c r="O17" s="31">
        <f t="shared" si="12"/>
        <v>358</v>
      </c>
    </row>
    <row r="18" ht="17.25" customHeight="1" spans="1:15">
      <c r="A18" s="18" t="s">
        <v>288</v>
      </c>
      <c r="B18" s="19">
        <v>30100</v>
      </c>
      <c r="C18" s="20">
        <v>15787</v>
      </c>
      <c r="D18" s="20">
        <v>15787</v>
      </c>
      <c r="E18" s="20">
        <v>18700</v>
      </c>
      <c r="F18" s="20">
        <v>18700</v>
      </c>
      <c r="G18" s="20">
        <f t="shared" si="1"/>
        <v>-11400</v>
      </c>
      <c r="H18" s="21">
        <f t="shared" si="2"/>
        <v>-0.337677976907275</v>
      </c>
      <c r="I18" s="25"/>
      <c r="J18" s="37">
        <v>28234</v>
      </c>
      <c r="K18" s="34"/>
      <c r="L18" s="31">
        <f t="shared" si="3"/>
        <v>2913</v>
      </c>
      <c r="M18" s="34"/>
      <c r="O18" s="31">
        <f t="shared" si="12"/>
        <v>2913</v>
      </c>
    </row>
    <row r="19" ht="17.25" customHeight="1" spans="1:15">
      <c r="A19" s="18" t="s">
        <v>289</v>
      </c>
      <c r="B19" s="44">
        <v>7770</v>
      </c>
      <c r="C19" s="20">
        <v>5392</v>
      </c>
      <c r="D19" s="20">
        <v>5392</v>
      </c>
      <c r="E19" s="20">
        <v>6800</v>
      </c>
      <c r="F19" s="20">
        <v>6800</v>
      </c>
      <c r="G19" s="20">
        <f t="shared" si="1"/>
        <v>-970</v>
      </c>
      <c r="H19" s="21">
        <f t="shared" si="2"/>
        <v>-0.2644672796106</v>
      </c>
      <c r="I19" s="25"/>
      <c r="J19" s="37">
        <v>9245</v>
      </c>
      <c r="K19" s="38"/>
      <c r="L19" s="31">
        <f t="shared" si="3"/>
        <v>1408</v>
      </c>
      <c r="M19" s="38"/>
      <c r="O19" s="31">
        <f t="shared" si="12"/>
        <v>1408</v>
      </c>
    </row>
    <row r="20" ht="17.25" customHeight="1" spans="1:15">
      <c r="A20" s="13" t="s">
        <v>290</v>
      </c>
      <c r="B20" s="14">
        <f t="shared" ref="B20:F20" si="13">SUM(B21:B23,B25:B26,B27:B29)</f>
        <v>42300</v>
      </c>
      <c r="C20" s="14">
        <f t="shared" si="13"/>
        <v>52362</v>
      </c>
      <c r="D20" s="14">
        <f t="shared" si="13"/>
        <v>52362</v>
      </c>
      <c r="E20" s="14">
        <f t="shared" si="13"/>
        <v>62100</v>
      </c>
      <c r="F20" s="14">
        <f t="shared" si="13"/>
        <v>62100</v>
      </c>
      <c r="G20" s="15">
        <f t="shared" si="1"/>
        <v>19800</v>
      </c>
      <c r="H20" s="16">
        <f t="shared" si="2"/>
        <v>0.545775874943994</v>
      </c>
      <c r="I20" s="25"/>
      <c r="J20" s="14">
        <f>SUM(J21:J23,J25:J26,J27:J29)</f>
        <v>40174</v>
      </c>
      <c r="L20" s="31">
        <f t="shared" si="3"/>
        <v>9738</v>
      </c>
      <c r="O20" s="31">
        <f t="shared" si="12"/>
        <v>9738</v>
      </c>
    </row>
    <row r="21" ht="17.25" customHeight="1" spans="1:15">
      <c r="A21" s="18" t="s">
        <v>291</v>
      </c>
      <c r="B21" s="19">
        <v>4300</v>
      </c>
      <c r="C21" s="20">
        <v>3658</v>
      </c>
      <c r="D21" s="20">
        <v>3658</v>
      </c>
      <c r="E21" s="20">
        <v>3950</v>
      </c>
      <c r="F21" s="20">
        <v>3950</v>
      </c>
      <c r="G21" s="20">
        <f t="shared" si="1"/>
        <v>-350</v>
      </c>
      <c r="H21" s="21">
        <f t="shared" si="2"/>
        <v>-0.0438150568869523</v>
      </c>
      <c r="I21" s="25"/>
      <c r="J21" s="37">
        <v>4131</v>
      </c>
      <c r="L21" s="31">
        <f t="shared" si="3"/>
        <v>292</v>
      </c>
      <c r="O21" s="31">
        <f t="shared" si="12"/>
        <v>292</v>
      </c>
    </row>
    <row r="22" ht="17.25" customHeight="1" spans="1:15">
      <c r="A22" s="18" t="s">
        <v>292</v>
      </c>
      <c r="B22" s="19">
        <v>2700</v>
      </c>
      <c r="C22" s="20">
        <v>1925</v>
      </c>
      <c r="D22" s="20">
        <v>1925</v>
      </c>
      <c r="E22" s="20">
        <v>2200</v>
      </c>
      <c r="F22" s="20">
        <v>2200</v>
      </c>
      <c r="G22" s="20">
        <f t="shared" si="1"/>
        <v>-500</v>
      </c>
      <c r="H22" s="21">
        <f t="shared" si="2"/>
        <v>-0.156765044078191</v>
      </c>
      <c r="I22" s="25"/>
      <c r="J22" s="39">
        <v>2609</v>
      </c>
      <c r="L22" s="31">
        <f t="shared" si="3"/>
        <v>275</v>
      </c>
      <c r="O22" s="31">
        <f t="shared" si="12"/>
        <v>275</v>
      </c>
    </row>
    <row r="23" ht="17.25" customHeight="1" spans="1:15">
      <c r="A23" s="26" t="s">
        <v>293</v>
      </c>
      <c r="B23" s="19">
        <v>12100</v>
      </c>
      <c r="C23" s="20">
        <v>3251</v>
      </c>
      <c r="D23" s="20">
        <v>3251</v>
      </c>
      <c r="E23" s="20">
        <v>4800</v>
      </c>
      <c r="F23" s="20">
        <v>4800</v>
      </c>
      <c r="G23" s="20">
        <f t="shared" si="1"/>
        <v>-7300</v>
      </c>
      <c r="H23" s="21">
        <f t="shared" si="2"/>
        <v>-0.507540781779009</v>
      </c>
      <c r="I23" s="25"/>
      <c r="J23" s="36">
        <v>9747</v>
      </c>
      <c r="L23" s="31">
        <f t="shared" si="3"/>
        <v>1549</v>
      </c>
      <c r="O23" s="31">
        <f t="shared" si="12"/>
        <v>1549</v>
      </c>
    </row>
    <row r="24" ht="17.25" customHeight="1" spans="1:15">
      <c r="A24" s="26" t="s">
        <v>294</v>
      </c>
      <c r="B24" s="19">
        <v>2300</v>
      </c>
      <c r="C24" s="20">
        <v>1472</v>
      </c>
      <c r="D24" s="20">
        <v>1472</v>
      </c>
      <c r="E24" s="20">
        <v>1800</v>
      </c>
      <c r="F24" s="20">
        <v>1800</v>
      </c>
      <c r="G24" s="20">
        <f t="shared" si="1"/>
        <v>-500</v>
      </c>
      <c r="H24" s="21">
        <f t="shared" si="2"/>
        <v>-0.181073703366697</v>
      </c>
      <c r="I24" s="25"/>
      <c r="J24" s="36">
        <v>2198</v>
      </c>
      <c r="L24" s="31">
        <f t="shared" si="3"/>
        <v>328</v>
      </c>
      <c r="O24" s="31">
        <f t="shared" si="12"/>
        <v>328</v>
      </c>
    </row>
    <row r="25" ht="17.25" customHeight="1" spans="1:15">
      <c r="A25" s="26" t="s">
        <v>295</v>
      </c>
      <c r="B25" s="19">
        <v>2000</v>
      </c>
      <c r="C25" s="20">
        <v>6614</v>
      </c>
      <c r="D25" s="20">
        <v>6614</v>
      </c>
      <c r="E25" s="20">
        <v>8700</v>
      </c>
      <c r="F25" s="20">
        <v>8700</v>
      </c>
      <c r="G25" s="20">
        <f t="shared" si="1"/>
        <v>6700</v>
      </c>
      <c r="H25" s="21">
        <f t="shared" si="2"/>
        <v>2.78260869565217</v>
      </c>
      <c r="I25" s="25"/>
      <c r="J25" s="36">
        <v>2300</v>
      </c>
      <c r="L25" s="31">
        <f t="shared" si="3"/>
        <v>2086</v>
      </c>
      <c r="O25" s="31">
        <f t="shared" si="12"/>
        <v>2086</v>
      </c>
    </row>
    <row r="26" ht="17.25" customHeight="1" spans="1:15">
      <c r="A26" s="26" t="s">
        <v>296</v>
      </c>
      <c r="B26" s="19">
        <v>2600</v>
      </c>
      <c r="C26" s="20">
        <v>19738</v>
      </c>
      <c r="D26" s="20">
        <v>19738</v>
      </c>
      <c r="E26" s="20">
        <v>25000</v>
      </c>
      <c r="F26" s="20">
        <v>25000</v>
      </c>
      <c r="G26" s="20">
        <f t="shared" si="1"/>
        <v>22400</v>
      </c>
      <c r="H26" s="21">
        <f t="shared" si="2"/>
        <v>8.02853015529072</v>
      </c>
      <c r="I26" s="25"/>
      <c r="J26" s="36">
        <v>2769</v>
      </c>
      <c r="L26" s="31">
        <f t="shared" si="3"/>
        <v>5262</v>
      </c>
      <c r="O26" s="31">
        <f t="shared" si="12"/>
        <v>5262</v>
      </c>
    </row>
    <row r="27" ht="17.25" customHeight="1" spans="1:15">
      <c r="A27" s="26" t="s">
        <v>297</v>
      </c>
      <c r="B27" s="19">
        <v>60</v>
      </c>
      <c r="C27" s="20">
        <v>0</v>
      </c>
      <c r="D27" s="20">
        <v>0</v>
      </c>
      <c r="E27" s="20">
        <v>65</v>
      </c>
      <c r="F27" s="20">
        <v>65</v>
      </c>
      <c r="G27" s="20">
        <f t="shared" si="1"/>
        <v>5</v>
      </c>
      <c r="H27" s="21">
        <f t="shared" si="2"/>
        <v>0.015625</v>
      </c>
      <c r="I27" s="25"/>
      <c r="J27" s="36">
        <v>64</v>
      </c>
      <c r="L27" s="31">
        <f t="shared" si="3"/>
        <v>65</v>
      </c>
      <c r="O27" s="31">
        <f t="shared" si="12"/>
        <v>65</v>
      </c>
    </row>
    <row r="28" ht="17.25" customHeight="1" spans="1:15">
      <c r="A28" s="26" t="s">
        <v>298</v>
      </c>
      <c r="B28" s="19">
        <v>1100</v>
      </c>
      <c r="C28" s="20">
        <v>1162</v>
      </c>
      <c r="D28" s="20">
        <v>1162</v>
      </c>
      <c r="E28" s="20">
        <v>1200</v>
      </c>
      <c r="F28" s="20">
        <v>1200</v>
      </c>
      <c r="G28" s="20">
        <f t="shared" si="1"/>
        <v>100</v>
      </c>
      <c r="H28" s="21"/>
      <c r="I28" s="25"/>
      <c r="J28" s="36">
        <v>2805</v>
      </c>
      <c r="L28" s="31"/>
      <c r="O28" s="31"/>
    </row>
    <row r="29" ht="17.25" customHeight="1" spans="1:15">
      <c r="A29" s="26" t="s">
        <v>299</v>
      </c>
      <c r="B29" s="19">
        <v>17440</v>
      </c>
      <c r="C29" s="20">
        <v>16014</v>
      </c>
      <c r="D29" s="20">
        <v>16014</v>
      </c>
      <c r="E29" s="20">
        <v>16185</v>
      </c>
      <c r="F29" s="20">
        <v>16185</v>
      </c>
      <c r="G29" s="20">
        <f t="shared" si="1"/>
        <v>-1255</v>
      </c>
      <c r="H29" s="21">
        <f t="shared" ref="H29:H43" si="14">E29/J29-1</f>
        <v>0.027684297415709</v>
      </c>
      <c r="I29" s="25"/>
      <c r="J29" s="36">
        <v>15749</v>
      </c>
      <c r="L29" s="31">
        <f t="shared" ref="L29:L34" si="15">E29-D29</f>
        <v>171</v>
      </c>
      <c r="O29" s="31">
        <f t="shared" ref="O29:O33" si="16">E29-D29</f>
        <v>171</v>
      </c>
    </row>
    <row r="30" ht="17.25" customHeight="1" spans="1:15">
      <c r="A30" s="13" t="s">
        <v>300</v>
      </c>
      <c r="B30" s="14">
        <f t="shared" ref="B30:F30" si="17">SUM(B31,B32,B33:B35,B36)</f>
        <v>74400</v>
      </c>
      <c r="C30" s="14">
        <f t="shared" si="17"/>
        <v>56464.5</v>
      </c>
      <c r="D30" s="14">
        <f t="shared" si="17"/>
        <v>56464.5</v>
      </c>
      <c r="E30" s="14">
        <f t="shared" si="17"/>
        <v>64100</v>
      </c>
      <c r="F30" s="14">
        <f t="shared" si="17"/>
        <v>64100</v>
      </c>
      <c r="G30" s="15">
        <f t="shared" si="1"/>
        <v>-10300</v>
      </c>
      <c r="H30" s="16">
        <f t="shared" si="14"/>
        <v>-0.0930122323077249</v>
      </c>
      <c r="I30" s="25"/>
      <c r="J30" s="14">
        <f>SUM(J31,J32,J33:J35,J36)</f>
        <v>70673.5</v>
      </c>
      <c r="O30" s="31">
        <f t="shared" si="16"/>
        <v>7635.5</v>
      </c>
    </row>
    <row r="31" ht="17.25" customHeight="1" spans="1:15">
      <c r="A31" s="18" t="s">
        <v>301</v>
      </c>
      <c r="B31" s="19">
        <f t="shared" ref="B31:F31" si="18">B13</f>
        <v>35250</v>
      </c>
      <c r="C31" s="19">
        <f t="shared" si="18"/>
        <v>21037</v>
      </c>
      <c r="D31" s="19">
        <f t="shared" si="18"/>
        <v>21037</v>
      </c>
      <c r="E31" s="19">
        <f t="shared" si="18"/>
        <v>27700</v>
      </c>
      <c r="F31" s="19">
        <f t="shared" si="18"/>
        <v>27700</v>
      </c>
      <c r="G31" s="20">
        <f t="shared" si="1"/>
        <v>-7550</v>
      </c>
      <c r="H31" s="21">
        <f t="shared" si="14"/>
        <v>-0.134645423305217</v>
      </c>
      <c r="I31" s="25"/>
      <c r="J31" s="19">
        <f>J13</f>
        <v>32010</v>
      </c>
      <c r="O31" s="31">
        <f t="shared" si="16"/>
        <v>6663</v>
      </c>
    </row>
    <row r="32" ht="17.25" customHeight="1" spans="1:15">
      <c r="A32" s="18" t="s">
        <v>302</v>
      </c>
      <c r="B32" s="19">
        <f t="shared" ref="B32:F32" si="19">B14</f>
        <v>0</v>
      </c>
      <c r="C32" s="19">
        <f t="shared" si="19"/>
        <v>0</v>
      </c>
      <c r="D32" s="19">
        <f t="shared" si="19"/>
        <v>0</v>
      </c>
      <c r="E32" s="19">
        <f t="shared" si="19"/>
        <v>0</v>
      </c>
      <c r="F32" s="19">
        <f t="shared" si="19"/>
        <v>0</v>
      </c>
      <c r="G32" s="20">
        <f t="shared" si="1"/>
        <v>0</v>
      </c>
      <c r="H32" s="21" t="e">
        <f t="shared" si="14"/>
        <v>#DIV/0!</v>
      </c>
      <c r="I32" s="25"/>
      <c r="J32" s="19">
        <f>J14+J15</f>
        <v>0</v>
      </c>
      <c r="O32" s="31">
        <f t="shared" si="16"/>
        <v>0</v>
      </c>
    </row>
    <row r="33" ht="17.25" customHeight="1" spans="1:15">
      <c r="A33" s="18" t="s">
        <v>303</v>
      </c>
      <c r="B33" s="19">
        <v>75</v>
      </c>
      <c r="C33" s="19">
        <v>48</v>
      </c>
      <c r="D33" s="19">
        <v>48</v>
      </c>
      <c r="E33" s="19">
        <v>60</v>
      </c>
      <c r="F33" s="19">
        <v>60</v>
      </c>
      <c r="G33" s="20">
        <f t="shared" si="1"/>
        <v>-15</v>
      </c>
      <c r="H33" s="21">
        <f t="shared" si="14"/>
        <v>-0.117647058823529</v>
      </c>
      <c r="I33" s="25"/>
      <c r="J33" s="19">
        <v>68</v>
      </c>
      <c r="L33" s="31">
        <f t="shared" si="15"/>
        <v>12</v>
      </c>
      <c r="O33" s="31">
        <f t="shared" si="16"/>
        <v>12</v>
      </c>
    </row>
    <row r="34" ht="17.25" customHeight="1" spans="1:12">
      <c r="A34" s="18" t="s">
        <v>304</v>
      </c>
      <c r="B34" s="19">
        <v>5355</v>
      </c>
      <c r="C34" s="19">
        <v>2103</v>
      </c>
      <c r="D34" s="19">
        <v>2103</v>
      </c>
      <c r="E34" s="19">
        <v>2440</v>
      </c>
      <c r="F34" s="19">
        <v>2440</v>
      </c>
      <c r="G34" s="20">
        <f t="shared" si="1"/>
        <v>-2915</v>
      </c>
      <c r="H34" s="21">
        <f t="shared" si="14"/>
        <v>-0.528502415458937</v>
      </c>
      <c r="I34" s="25"/>
      <c r="J34" s="19">
        <v>5175</v>
      </c>
      <c r="L34" s="31">
        <f t="shared" si="15"/>
        <v>337</v>
      </c>
    </row>
    <row r="35" ht="17.25" customHeight="1" spans="1:10">
      <c r="A35" s="18" t="s">
        <v>305</v>
      </c>
      <c r="B35" s="19">
        <f t="shared" ref="B35:F35" si="20">B16*1.5</f>
        <v>21900</v>
      </c>
      <c r="C35" s="19">
        <f>C16*1.5-1</f>
        <v>23763.5</v>
      </c>
      <c r="D35" s="19">
        <f>D16*1.5-1</f>
        <v>23763.5</v>
      </c>
      <c r="E35" s="19">
        <f t="shared" si="20"/>
        <v>23850</v>
      </c>
      <c r="F35" s="19">
        <f t="shared" si="20"/>
        <v>23850</v>
      </c>
      <c r="G35" s="20">
        <f t="shared" si="1"/>
        <v>1950</v>
      </c>
      <c r="H35" s="21">
        <f t="shared" si="14"/>
        <v>0.141831238779174</v>
      </c>
      <c r="I35" s="27"/>
      <c r="J35" s="19">
        <f>J16*1.5</f>
        <v>20887.5</v>
      </c>
    </row>
    <row r="36" ht="17.25" customHeight="1" spans="1:10">
      <c r="A36" s="18" t="s">
        <v>306</v>
      </c>
      <c r="B36" s="19">
        <f t="shared" ref="B36:F36" si="21">B17*1.5</f>
        <v>11820</v>
      </c>
      <c r="C36" s="19">
        <f t="shared" si="21"/>
        <v>9513</v>
      </c>
      <c r="D36" s="19">
        <f t="shared" si="21"/>
        <v>9513</v>
      </c>
      <c r="E36" s="19">
        <f t="shared" si="21"/>
        <v>10050</v>
      </c>
      <c r="F36" s="19">
        <f t="shared" si="21"/>
        <v>10050</v>
      </c>
      <c r="G36" s="20">
        <f>SUM(G37:G38)</f>
        <v>-180824</v>
      </c>
      <c r="H36" s="21">
        <f t="shared" si="14"/>
        <v>-0.198116971196042</v>
      </c>
      <c r="I36" s="27"/>
      <c r="J36" s="19">
        <f>J17*1.5-1</f>
        <v>12533</v>
      </c>
    </row>
    <row r="37" ht="17.25" customHeight="1" spans="1:12">
      <c r="A37" s="13" t="s">
        <v>307</v>
      </c>
      <c r="B37" s="14">
        <f t="shared" ref="B37:G37" si="22">SUM(B38:B43)</f>
        <v>248400</v>
      </c>
      <c r="C37" s="14">
        <f t="shared" si="22"/>
        <v>52358</v>
      </c>
      <c r="D37" s="14">
        <f t="shared" si="22"/>
        <v>52358</v>
      </c>
      <c r="E37" s="14">
        <f t="shared" si="22"/>
        <v>67183</v>
      </c>
      <c r="F37" s="14">
        <f t="shared" si="22"/>
        <v>67183</v>
      </c>
      <c r="G37" s="15">
        <f t="shared" si="22"/>
        <v>-181217</v>
      </c>
      <c r="H37" s="16">
        <f t="shared" si="14"/>
        <v>-0.675006409605217</v>
      </c>
      <c r="I37" s="27"/>
      <c r="J37" s="14">
        <f>SUM(J38:J43)</f>
        <v>206721</v>
      </c>
      <c r="L37" s="31">
        <f>E37-J37</f>
        <v>-139538</v>
      </c>
    </row>
    <row r="38" ht="17.25" customHeight="1" spans="1:12">
      <c r="A38" s="28" t="s">
        <v>308</v>
      </c>
      <c r="B38" s="29">
        <v>0</v>
      </c>
      <c r="C38" s="20">
        <v>393</v>
      </c>
      <c r="D38" s="20">
        <v>393</v>
      </c>
      <c r="E38" s="20">
        <v>393</v>
      </c>
      <c r="F38" s="20">
        <v>393</v>
      </c>
      <c r="G38" s="20">
        <f t="shared" ref="G38:G43" si="23">E38-B38</f>
        <v>393</v>
      </c>
      <c r="H38" s="21">
        <f t="shared" si="14"/>
        <v>-0.832765957446808</v>
      </c>
      <c r="I38" s="27"/>
      <c r="J38" s="20">
        <v>2350</v>
      </c>
      <c r="L38" s="31">
        <f t="shared" ref="L38:L43" si="24">E38-D38</f>
        <v>0</v>
      </c>
    </row>
    <row r="39" ht="17.25" customHeight="1" spans="1:12">
      <c r="A39" s="28" t="s">
        <v>309</v>
      </c>
      <c r="B39" s="29">
        <v>244650</v>
      </c>
      <c r="C39" s="20">
        <v>50002</v>
      </c>
      <c r="D39" s="20">
        <v>50002</v>
      </c>
      <c r="E39" s="20">
        <v>64336</v>
      </c>
      <c r="F39" s="20">
        <v>64336</v>
      </c>
      <c r="G39" s="20">
        <f t="shared" si="23"/>
        <v>-180314</v>
      </c>
      <c r="H39" s="21">
        <f t="shared" si="14"/>
        <v>-0.678614068127663</v>
      </c>
      <c r="I39" s="27"/>
      <c r="J39" s="36">
        <v>200183</v>
      </c>
      <c r="L39" s="31">
        <f t="shared" si="24"/>
        <v>14334</v>
      </c>
    </row>
    <row r="40" ht="17.25" customHeight="1" spans="1:12">
      <c r="A40" s="28" t="s">
        <v>310</v>
      </c>
      <c r="B40" s="29">
        <v>2400</v>
      </c>
      <c r="C40" s="20">
        <v>587</v>
      </c>
      <c r="D40" s="20">
        <v>587</v>
      </c>
      <c r="E40" s="20">
        <v>1000</v>
      </c>
      <c r="F40" s="20">
        <v>1000</v>
      </c>
      <c r="G40" s="20">
        <f t="shared" si="23"/>
        <v>-1400</v>
      </c>
      <c r="H40" s="21">
        <f t="shared" si="14"/>
        <v>-0.642474079370754</v>
      </c>
      <c r="I40" s="27"/>
      <c r="J40" s="36">
        <v>2797</v>
      </c>
      <c r="L40" s="31">
        <f t="shared" si="24"/>
        <v>413</v>
      </c>
    </row>
    <row r="41" ht="17.25" customHeight="1" spans="1:12">
      <c r="A41" s="28" t="s">
        <v>311</v>
      </c>
      <c r="B41" s="29">
        <v>900</v>
      </c>
      <c r="C41" s="20">
        <v>974</v>
      </c>
      <c r="D41" s="20">
        <v>974</v>
      </c>
      <c r="E41" s="20">
        <v>974</v>
      </c>
      <c r="F41" s="20">
        <v>974</v>
      </c>
      <c r="G41" s="20">
        <f t="shared" si="23"/>
        <v>74</v>
      </c>
      <c r="H41" s="21">
        <f t="shared" si="14"/>
        <v>0.0882681564245811</v>
      </c>
      <c r="I41" s="27"/>
      <c r="J41" s="40">
        <v>895</v>
      </c>
      <c r="L41" s="31">
        <f t="shared" si="24"/>
        <v>0</v>
      </c>
    </row>
    <row r="42" ht="17.25" customHeight="1" spans="1:12">
      <c r="A42" s="28" t="s">
        <v>312</v>
      </c>
      <c r="B42" s="29">
        <v>120</v>
      </c>
      <c r="C42" s="20">
        <v>130</v>
      </c>
      <c r="D42" s="20">
        <v>130</v>
      </c>
      <c r="E42" s="20">
        <v>150</v>
      </c>
      <c r="F42" s="20">
        <v>150</v>
      </c>
      <c r="G42" s="20">
        <f t="shared" si="23"/>
        <v>30</v>
      </c>
      <c r="H42" s="21">
        <f t="shared" si="14"/>
        <v>0.111111111111111</v>
      </c>
      <c r="I42" s="27"/>
      <c r="J42" s="20">
        <v>135</v>
      </c>
      <c r="L42" s="31">
        <f t="shared" si="24"/>
        <v>20</v>
      </c>
    </row>
    <row r="43" ht="17.25" customHeight="1" spans="1:12">
      <c r="A43" s="28" t="s">
        <v>313</v>
      </c>
      <c r="B43" s="29">
        <v>330</v>
      </c>
      <c r="C43" s="20">
        <v>272</v>
      </c>
      <c r="D43" s="20">
        <v>272</v>
      </c>
      <c r="E43" s="20">
        <v>330</v>
      </c>
      <c r="F43" s="20">
        <v>330</v>
      </c>
      <c r="G43" s="20">
        <f t="shared" si="23"/>
        <v>0</v>
      </c>
      <c r="H43" s="21">
        <f t="shared" si="14"/>
        <v>-0.0858725761772853</v>
      </c>
      <c r="I43" s="27"/>
      <c r="J43" s="20">
        <v>361</v>
      </c>
      <c r="L43" s="31">
        <f t="shared" si="24"/>
        <v>58</v>
      </c>
    </row>
    <row r="44" spans="5:10">
      <c r="E44" s="30"/>
      <c r="F44" s="30"/>
      <c r="G44" s="30"/>
      <c r="J44" s="30"/>
    </row>
    <row r="45" spans="5:10">
      <c r="E45" s="3">
        <f>(E22+1500)/E9</f>
        <v>0.047680412371134</v>
      </c>
      <c r="F45" s="3">
        <f>(F22+1500)/F9</f>
        <v>0.047680412371134</v>
      </c>
      <c r="J45" s="3">
        <f>J22/J9</f>
        <v>0.0277647709858675</v>
      </c>
    </row>
  </sheetData>
  <mergeCells count="6">
    <mergeCell ref="A1:H1"/>
    <mergeCell ref="E3:H3"/>
    <mergeCell ref="A3:A4"/>
    <mergeCell ref="B3:B4"/>
    <mergeCell ref="C3:C4"/>
    <mergeCell ref="D3:D4"/>
  </mergeCells>
  <pageMargins left="0.747916666666667" right="0" top="0.590277777777778" bottom="0.393055555555556" header="0.511805555555556" footer="0.511805555555556"/>
  <pageSetup paperSize="9" scale="9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Q45"/>
  <sheetViews>
    <sheetView workbookViewId="0">
      <selection activeCell="D35" sqref="D35:D36"/>
    </sheetView>
  </sheetViews>
  <sheetFormatPr defaultColWidth="9" defaultRowHeight="12.75"/>
  <cols>
    <col min="1" max="1" width="27.875" style="1" customWidth="1"/>
    <col min="2" max="2" width="8.875" style="2" customWidth="1"/>
    <col min="3" max="3" width="9.25" style="1" customWidth="1"/>
    <col min="4" max="4" width="9.25" style="3" customWidth="1"/>
    <col min="5" max="5" width="10.375" style="3" customWidth="1"/>
    <col min="6" max="6" width="10.5" style="3" customWidth="1"/>
    <col min="7" max="7" width="8.875" style="1" customWidth="1"/>
    <col min="8" max="8" width="2.375" style="1" customWidth="1"/>
    <col min="9" max="9" width="9.5" style="3" customWidth="1"/>
    <col min="10" max="16384" width="9" style="1"/>
  </cols>
  <sheetData>
    <row r="1" ht="21.75" customHeight="1" spans="1:8">
      <c r="A1" s="4" t="s">
        <v>267</v>
      </c>
      <c r="B1" s="4"/>
      <c r="C1" s="4"/>
      <c r="D1" s="4"/>
      <c r="E1" s="4"/>
      <c r="F1" s="4"/>
      <c r="G1" s="4"/>
      <c r="H1" s="4"/>
    </row>
    <row r="2" ht="15.75" customHeight="1" spans="1:7">
      <c r="A2" s="2" t="s">
        <v>1</v>
      </c>
      <c r="G2" s="2" t="s">
        <v>115</v>
      </c>
    </row>
    <row r="3" ht="14.25" customHeight="1" spans="1:8">
      <c r="A3" s="5" t="s">
        <v>268</v>
      </c>
      <c r="B3" s="6" t="s">
        <v>269</v>
      </c>
      <c r="C3" s="6" t="s">
        <v>314</v>
      </c>
      <c r="D3" s="7" t="s">
        <v>272</v>
      </c>
      <c r="E3" s="7"/>
      <c r="F3" s="7"/>
      <c r="G3" s="7"/>
      <c r="H3" s="8"/>
    </row>
    <row r="4" ht="14.25" customHeight="1" spans="1:13">
      <c r="A4" s="9"/>
      <c r="B4" s="10"/>
      <c r="C4" s="10"/>
      <c r="D4" s="11" t="s">
        <v>17</v>
      </c>
      <c r="E4" s="11" t="s">
        <v>275</v>
      </c>
      <c r="F4" s="11" t="s">
        <v>315</v>
      </c>
      <c r="G4" s="11" t="s">
        <v>276</v>
      </c>
      <c r="H4" s="12"/>
      <c r="M4" s="1">
        <f>K9/K6</f>
        <v>0.562273973233824</v>
      </c>
    </row>
    <row r="5" ht="17.25" customHeight="1" spans="1:11">
      <c r="A5" s="13" t="s">
        <v>277</v>
      </c>
      <c r="B5" s="14">
        <f>SUM(B6:B7)</f>
        <v>214850</v>
      </c>
      <c r="C5" s="14">
        <f>SUM(C6:C7)</f>
        <v>200432.5</v>
      </c>
      <c r="D5" s="14">
        <f>SUM(D6:D7)</f>
        <v>225365</v>
      </c>
      <c r="E5" s="15">
        <f t="shared" ref="E5:E43" si="0">D5-B5</f>
        <v>10515</v>
      </c>
      <c r="F5" s="14">
        <f>SUM(F6:F7)</f>
        <v>22379</v>
      </c>
      <c r="G5" s="41">
        <f t="shared" ref="G5:G43" si="1">D5/I5-1</f>
        <v>0.110254452299431</v>
      </c>
      <c r="H5" s="17"/>
      <c r="I5" s="14">
        <f>SUM(I6:I7)</f>
        <v>202985</v>
      </c>
      <c r="K5" s="31">
        <f>D5-C5</f>
        <v>24932.5</v>
      </c>
    </row>
    <row r="6" ht="17.25" customHeight="1" spans="1:14">
      <c r="A6" s="18" t="s">
        <v>278</v>
      </c>
      <c r="B6" s="19">
        <f>SUM(B9,B30)</f>
        <v>172350</v>
      </c>
      <c r="C6" s="19">
        <f>SUM(C9,C30)</f>
        <v>139083.5</v>
      </c>
      <c r="D6" s="19">
        <f>SUM(D9,D30)</f>
        <v>160790</v>
      </c>
      <c r="E6" s="20">
        <f t="shared" si="0"/>
        <v>-11560</v>
      </c>
      <c r="F6" s="19">
        <f>SUM(F9,F30)</f>
        <v>19130</v>
      </c>
      <c r="G6" s="42">
        <f t="shared" si="1"/>
        <v>0.135049661511093</v>
      </c>
      <c r="H6" s="22"/>
      <c r="I6" s="19">
        <f>SUM(I9,I30)</f>
        <v>141659</v>
      </c>
      <c r="K6" s="31">
        <f>D6-C6</f>
        <v>21706.5</v>
      </c>
      <c r="N6" s="31">
        <f t="shared" ref="N6:N13" si="2">D6-C6</f>
        <v>21706.5</v>
      </c>
    </row>
    <row r="7" ht="17.25" customHeight="1" spans="1:14">
      <c r="A7" s="18" t="s">
        <v>279</v>
      </c>
      <c r="B7" s="19">
        <f>SUM(B21:B23,B25:B29)-B24</f>
        <v>42500</v>
      </c>
      <c r="C7" s="19">
        <f>SUM(C21:C23,C25:C29)-C24</f>
        <v>61349</v>
      </c>
      <c r="D7" s="19">
        <f>SUM(D21:D23,D25:D29)-D24</f>
        <v>64575</v>
      </c>
      <c r="E7" s="20">
        <f t="shared" si="0"/>
        <v>22075</v>
      </c>
      <c r="F7" s="19">
        <f>SUM(F21:F23,F25:F29)-F24</f>
        <v>3249</v>
      </c>
      <c r="G7" s="42">
        <f t="shared" si="1"/>
        <v>0.0529791605518051</v>
      </c>
      <c r="H7" s="23"/>
      <c r="I7" s="19">
        <f>SUM(I21:I23,I25:I29)-I24</f>
        <v>61326</v>
      </c>
      <c r="K7" s="31">
        <f t="shared" ref="K7:K29" si="3">D7-C7</f>
        <v>3226</v>
      </c>
      <c r="N7" s="31">
        <f t="shared" si="2"/>
        <v>3226</v>
      </c>
    </row>
    <row r="8" ht="17.25" customHeight="1" spans="1:17">
      <c r="A8" s="13" t="s">
        <v>280</v>
      </c>
      <c r="B8" s="14">
        <f>SUM(B9:B10)</f>
        <v>146200</v>
      </c>
      <c r="C8" s="14">
        <f>SUM(C9:C10)</f>
        <v>136942</v>
      </c>
      <c r="D8" s="14">
        <f>SUM(D9:D10)</f>
        <v>152373</v>
      </c>
      <c r="E8" s="15">
        <f t="shared" si="0"/>
        <v>6173</v>
      </c>
      <c r="F8" s="14">
        <f>SUM(F9:F10)</f>
        <v>13922</v>
      </c>
      <c r="G8" s="41">
        <f t="shared" si="1"/>
        <v>0.100555431163372</v>
      </c>
      <c r="H8" s="24"/>
      <c r="I8" s="14">
        <f>SUM(I9:I10)</f>
        <v>138451</v>
      </c>
      <c r="K8" s="31">
        <f t="shared" si="3"/>
        <v>15431</v>
      </c>
      <c r="N8" s="31">
        <f t="shared" si="2"/>
        <v>15431</v>
      </c>
      <c r="Q8" s="31">
        <f>SUM(C10:C11)</f>
        <v>135331</v>
      </c>
    </row>
    <row r="9" ht="17.25" customHeight="1" spans="1:17">
      <c r="A9" s="18" t="s">
        <v>278</v>
      </c>
      <c r="B9" s="19">
        <f>SUM(B13,B14,B15,B16,B17,B18,B19,B24)</f>
        <v>103700</v>
      </c>
      <c r="C9" s="19">
        <f>SUM(C13,C14,C15,C16,C17,C18,C19,C24)</f>
        <v>75593</v>
      </c>
      <c r="D9" s="19">
        <f>SUM(D13,D14,D15,D16,D17,D18,D19,D24)</f>
        <v>87798</v>
      </c>
      <c r="E9" s="20">
        <f t="shared" si="0"/>
        <v>-15902</v>
      </c>
      <c r="F9" s="20">
        <f>D9-I9</f>
        <v>10673</v>
      </c>
      <c r="G9" s="42">
        <f t="shared" si="1"/>
        <v>0.138385737439222</v>
      </c>
      <c r="H9" s="17"/>
      <c r="I9" s="19">
        <f>SUM(I13,I14,I15,I16,I17,I18,I19,I24)</f>
        <v>77125</v>
      </c>
      <c r="K9" s="31">
        <f t="shared" si="3"/>
        <v>12205</v>
      </c>
      <c r="N9" s="31">
        <f t="shared" si="2"/>
        <v>12205</v>
      </c>
      <c r="Q9" s="31">
        <f>SUM(C6:C7)</f>
        <v>200432.5</v>
      </c>
    </row>
    <row r="10" ht="17.25" customHeight="1" spans="1:14">
      <c r="A10" s="18" t="s">
        <v>279</v>
      </c>
      <c r="B10" s="19">
        <f>B7</f>
        <v>42500</v>
      </c>
      <c r="C10" s="19">
        <f>C7</f>
        <v>61349</v>
      </c>
      <c r="D10" s="19">
        <f>D7</f>
        <v>64575</v>
      </c>
      <c r="E10" s="20">
        <f t="shared" si="0"/>
        <v>22075</v>
      </c>
      <c r="F10" s="19">
        <f>F7</f>
        <v>3249</v>
      </c>
      <c r="G10" s="42">
        <f t="shared" si="1"/>
        <v>0.0529791605518051</v>
      </c>
      <c r="H10" s="22"/>
      <c r="I10" s="19">
        <f>I7</f>
        <v>61326</v>
      </c>
      <c r="K10" s="31">
        <f t="shared" si="3"/>
        <v>3226</v>
      </c>
      <c r="N10" s="31">
        <f t="shared" si="2"/>
        <v>3226</v>
      </c>
    </row>
    <row r="11" ht="17.25" customHeight="1" spans="1:17">
      <c r="A11" s="13" t="s">
        <v>281</v>
      </c>
      <c r="B11" s="14">
        <f>SUM(B12,B15:B16,B17:B19)</f>
        <v>101400</v>
      </c>
      <c r="C11" s="14">
        <f>SUM(C12,C15:C16,C17:C19)</f>
        <v>73982</v>
      </c>
      <c r="D11" s="14">
        <f>SUM(D12,D15:D16,D17:D19)</f>
        <v>85998</v>
      </c>
      <c r="E11" s="15">
        <f t="shared" si="0"/>
        <v>-15402</v>
      </c>
      <c r="F11" s="14">
        <f>SUM(F12,F15:F16,F17:F19)</f>
        <v>10671</v>
      </c>
      <c r="G11" s="41">
        <f t="shared" si="1"/>
        <v>0.141662352144649</v>
      </c>
      <c r="H11" s="22"/>
      <c r="I11" s="14">
        <f>SUM(I12,I15:I16,I17:I19)</f>
        <v>75327</v>
      </c>
      <c r="K11" s="31">
        <f t="shared" si="3"/>
        <v>12016</v>
      </c>
      <c r="N11" s="31">
        <f t="shared" si="2"/>
        <v>12016</v>
      </c>
      <c r="Q11" s="1">
        <f>Q8/Q9</f>
        <v>0.675194891048108</v>
      </c>
    </row>
    <row r="12" ht="17.25" customHeight="1" spans="1:17">
      <c r="A12" s="18" t="s">
        <v>282</v>
      </c>
      <c r="B12" s="19">
        <f>SUM(B13:B14)</f>
        <v>29000</v>
      </c>
      <c r="C12" s="19">
        <f>SUM(C13:C14)</f>
        <v>32131</v>
      </c>
      <c r="D12" s="19">
        <f>SUM(D13:D14)</f>
        <v>35800</v>
      </c>
      <c r="E12" s="20">
        <f t="shared" si="0"/>
        <v>6800</v>
      </c>
      <c r="F12" s="19">
        <f>SUM(F13:F14)</f>
        <v>8234</v>
      </c>
      <c r="G12" s="42">
        <f t="shared" si="1"/>
        <v>0.298701298701299</v>
      </c>
      <c r="H12" s="22"/>
      <c r="I12" s="19">
        <f>SUM(I13:I14)</f>
        <v>27566</v>
      </c>
      <c r="K12" s="31">
        <f t="shared" si="3"/>
        <v>3669</v>
      </c>
      <c r="N12" s="31">
        <f t="shared" si="2"/>
        <v>3669</v>
      </c>
      <c r="Q12" s="1">
        <v>7500</v>
      </c>
    </row>
    <row r="13" ht="17.25" customHeight="1" spans="1:17">
      <c r="A13" s="18" t="s">
        <v>283</v>
      </c>
      <c r="B13" s="43">
        <v>29000</v>
      </c>
      <c r="C13" s="20">
        <v>32131</v>
      </c>
      <c r="D13" s="20">
        <v>35800</v>
      </c>
      <c r="E13" s="20">
        <f t="shared" si="0"/>
        <v>6800</v>
      </c>
      <c r="F13" s="20">
        <f t="shared" ref="F13:F29" si="4">D13-I13</f>
        <v>8234</v>
      </c>
      <c r="G13" s="42">
        <f t="shared" si="1"/>
        <v>0.298701298701299</v>
      </c>
      <c r="H13" s="25"/>
      <c r="I13" s="32">
        <v>27566</v>
      </c>
      <c r="J13" s="33"/>
      <c r="K13" s="31">
        <f t="shared" si="3"/>
        <v>3669</v>
      </c>
      <c r="L13" s="34"/>
      <c r="N13" s="31">
        <f t="shared" si="2"/>
        <v>3669</v>
      </c>
      <c r="Q13" s="1">
        <f>Q11*Q12</f>
        <v>5063.96168286081</v>
      </c>
    </row>
    <row r="14" ht="17.25" customHeight="1" spans="1:12">
      <c r="A14" s="18" t="s">
        <v>284</v>
      </c>
      <c r="B14" s="19"/>
      <c r="C14" s="20"/>
      <c r="D14" s="20"/>
      <c r="E14" s="20">
        <f t="shared" si="0"/>
        <v>0</v>
      </c>
      <c r="F14" s="20">
        <f t="shared" si="4"/>
        <v>0</v>
      </c>
      <c r="G14" s="42"/>
      <c r="H14" s="25"/>
      <c r="I14" s="32"/>
      <c r="J14" s="34"/>
      <c r="K14" s="31">
        <f t="shared" si="3"/>
        <v>0</v>
      </c>
      <c r="L14" s="35"/>
    </row>
    <row r="15" ht="17.25" customHeight="1" spans="1:14">
      <c r="A15" s="18" t="s">
        <v>285</v>
      </c>
      <c r="B15" s="19">
        <v>0</v>
      </c>
      <c r="C15" s="20"/>
      <c r="D15" s="20"/>
      <c r="E15" s="20">
        <f t="shared" si="0"/>
        <v>0</v>
      </c>
      <c r="F15" s="20">
        <f t="shared" si="4"/>
        <v>0</v>
      </c>
      <c r="G15" s="42"/>
      <c r="H15" s="25"/>
      <c r="I15" s="36"/>
      <c r="J15" s="34"/>
      <c r="K15" s="31">
        <f t="shared" si="3"/>
        <v>0</v>
      </c>
      <c r="L15" s="34"/>
      <c r="N15" s="31">
        <f>D15-C15</f>
        <v>0</v>
      </c>
    </row>
    <row r="16" ht="17.25" customHeight="1" spans="1:12">
      <c r="A16" s="18" t="s">
        <v>286</v>
      </c>
      <c r="B16" s="44">
        <v>17400</v>
      </c>
      <c r="C16" s="20">
        <v>12658</v>
      </c>
      <c r="D16" s="20">
        <v>14200</v>
      </c>
      <c r="E16" s="20">
        <f t="shared" si="0"/>
        <v>-3200</v>
      </c>
      <c r="F16" s="20">
        <f t="shared" si="4"/>
        <v>-1696</v>
      </c>
      <c r="G16" s="42">
        <f t="shared" si="1"/>
        <v>-0.106693507800705</v>
      </c>
      <c r="H16" s="25"/>
      <c r="I16" s="36">
        <v>15896</v>
      </c>
      <c r="J16" s="34"/>
      <c r="K16" s="31">
        <f t="shared" si="3"/>
        <v>1542</v>
      </c>
      <c r="L16" s="34"/>
    </row>
    <row r="17" ht="17.25" customHeight="1" spans="1:14">
      <c r="A17" s="18" t="s">
        <v>287</v>
      </c>
      <c r="B17" s="44">
        <v>7700</v>
      </c>
      <c r="C17" s="20">
        <v>6815</v>
      </c>
      <c r="D17" s="20">
        <v>8878</v>
      </c>
      <c r="E17" s="20">
        <f t="shared" si="0"/>
        <v>1178</v>
      </c>
      <c r="F17" s="20">
        <f t="shared" si="4"/>
        <v>1766</v>
      </c>
      <c r="G17" s="42">
        <f t="shared" si="1"/>
        <v>0.248312710911136</v>
      </c>
      <c r="H17" s="25"/>
      <c r="I17" s="37">
        <v>7112</v>
      </c>
      <c r="J17" s="34"/>
      <c r="K17" s="31">
        <f t="shared" si="3"/>
        <v>2063</v>
      </c>
      <c r="L17" s="34"/>
      <c r="N17" s="31">
        <f>D17-C17</f>
        <v>2063</v>
      </c>
    </row>
    <row r="18" ht="17.25" customHeight="1" spans="1:14">
      <c r="A18" s="18" t="s">
        <v>288</v>
      </c>
      <c r="B18" s="19">
        <v>37800</v>
      </c>
      <c r="C18" s="20">
        <v>14335</v>
      </c>
      <c r="D18" s="20">
        <v>17900</v>
      </c>
      <c r="E18" s="20">
        <f t="shared" si="0"/>
        <v>-19900</v>
      </c>
      <c r="F18" s="20">
        <f t="shared" si="4"/>
        <v>-199</v>
      </c>
      <c r="G18" s="42">
        <f t="shared" si="1"/>
        <v>-0.0109950826012487</v>
      </c>
      <c r="H18" s="25"/>
      <c r="I18" s="37">
        <v>18099</v>
      </c>
      <c r="J18" s="34"/>
      <c r="K18" s="31">
        <f t="shared" si="3"/>
        <v>3565</v>
      </c>
      <c r="L18" s="34"/>
      <c r="N18" s="31">
        <f>D18-C18</f>
        <v>3565</v>
      </c>
    </row>
    <row r="19" ht="17.25" customHeight="1" spans="1:14">
      <c r="A19" s="18" t="s">
        <v>289</v>
      </c>
      <c r="B19" s="44">
        <v>9500</v>
      </c>
      <c r="C19" s="20">
        <v>8043</v>
      </c>
      <c r="D19" s="20">
        <v>9220</v>
      </c>
      <c r="E19" s="20">
        <f t="shared" si="0"/>
        <v>-280</v>
      </c>
      <c r="F19" s="20">
        <f t="shared" si="4"/>
        <v>2566</v>
      </c>
      <c r="G19" s="42">
        <f t="shared" si="1"/>
        <v>0.385632702134055</v>
      </c>
      <c r="H19" s="25"/>
      <c r="I19" s="37">
        <v>6654</v>
      </c>
      <c r="J19" s="38"/>
      <c r="K19" s="31">
        <f t="shared" si="3"/>
        <v>1177</v>
      </c>
      <c r="L19" s="38"/>
      <c r="N19" s="31">
        <f>D19-C19</f>
        <v>1177</v>
      </c>
    </row>
    <row r="20" ht="17.25" customHeight="1" spans="1:14">
      <c r="A20" s="13" t="s">
        <v>290</v>
      </c>
      <c r="B20" s="14">
        <f>SUM(B21:B23,B25:B26,B27:B29)</f>
        <v>44800</v>
      </c>
      <c r="C20" s="14">
        <f>SUM(C21:C23,C25:C26,C27:C29)</f>
        <v>62960</v>
      </c>
      <c r="D20" s="14">
        <f>SUM(D21:D23,D25:D26,D27:D29)</f>
        <v>66375</v>
      </c>
      <c r="E20" s="15">
        <f t="shared" si="0"/>
        <v>21575</v>
      </c>
      <c r="F20" s="14">
        <f>SUM(F21:F23,F25:F26,F27:F29)</f>
        <v>3251</v>
      </c>
      <c r="G20" s="41">
        <f t="shared" si="1"/>
        <v>0.0515018059692034</v>
      </c>
      <c r="H20" s="25"/>
      <c r="I20" s="14">
        <f>SUM(I21:I23,I25:I26,I27:I29)</f>
        <v>63124</v>
      </c>
      <c r="K20" s="31">
        <f t="shared" si="3"/>
        <v>3415</v>
      </c>
      <c r="N20" s="31">
        <f>D20-C20</f>
        <v>3415</v>
      </c>
    </row>
    <row r="21" ht="17.25" customHeight="1" spans="1:14">
      <c r="A21" s="18" t="s">
        <v>291</v>
      </c>
      <c r="B21" s="44">
        <v>4900</v>
      </c>
      <c r="C21" s="20">
        <v>3466</v>
      </c>
      <c r="D21" s="20">
        <v>3600</v>
      </c>
      <c r="E21" s="20">
        <f t="shared" si="0"/>
        <v>-1300</v>
      </c>
      <c r="F21" s="20">
        <f t="shared" si="4"/>
        <v>-308</v>
      </c>
      <c r="G21" s="42">
        <f t="shared" si="1"/>
        <v>-0.0788126919140225</v>
      </c>
      <c r="H21" s="25"/>
      <c r="I21" s="37">
        <v>3908</v>
      </c>
      <c r="K21" s="31">
        <f t="shared" si="3"/>
        <v>134</v>
      </c>
      <c r="N21" s="31">
        <f>D21-C21</f>
        <v>134</v>
      </c>
    </row>
    <row r="22" ht="17.25" customHeight="1" spans="1:14">
      <c r="A22" s="18" t="s">
        <v>292</v>
      </c>
      <c r="B22" s="44">
        <v>2700</v>
      </c>
      <c r="C22" s="20">
        <v>3058</v>
      </c>
      <c r="D22" s="20">
        <v>3210</v>
      </c>
      <c r="E22" s="20">
        <f t="shared" si="0"/>
        <v>510</v>
      </c>
      <c r="F22" s="20">
        <f t="shared" si="4"/>
        <v>625</v>
      </c>
      <c r="G22" s="42">
        <f t="shared" si="1"/>
        <v>0.241779497098646</v>
      </c>
      <c r="H22" s="25"/>
      <c r="I22" s="37">
        <v>2585</v>
      </c>
      <c r="K22" s="31">
        <f t="shared" si="3"/>
        <v>152</v>
      </c>
      <c r="N22" s="31">
        <f t="shared" ref="N22:N33" si="5">D22-C22</f>
        <v>152</v>
      </c>
    </row>
    <row r="23" ht="17.25" customHeight="1" spans="1:14">
      <c r="A23" s="26" t="s">
        <v>293</v>
      </c>
      <c r="B23" s="44">
        <v>12700</v>
      </c>
      <c r="C23" s="20">
        <v>4378</v>
      </c>
      <c r="D23" s="20">
        <v>5200</v>
      </c>
      <c r="E23" s="20">
        <f t="shared" si="0"/>
        <v>-7500</v>
      </c>
      <c r="F23" s="20">
        <f t="shared" si="4"/>
        <v>1072</v>
      </c>
      <c r="G23" s="42">
        <f t="shared" si="1"/>
        <v>0.25968992248062</v>
      </c>
      <c r="H23" s="25"/>
      <c r="I23" s="36">
        <v>4128</v>
      </c>
      <c r="K23" s="31">
        <f t="shared" si="3"/>
        <v>822</v>
      </c>
      <c r="N23" s="31">
        <f t="shared" si="5"/>
        <v>822</v>
      </c>
    </row>
    <row r="24" ht="17.25" customHeight="1" spans="1:14">
      <c r="A24" s="26" t="s">
        <v>294</v>
      </c>
      <c r="B24" s="44">
        <v>2300</v>
      </c>
      <c r="C24" s="20">
        <v>1611</v>
      </c>
      <c r="D24" s="20">
        <v>1800</v>
      </c>
      <c r="E24" s="20">
        <f t="shared" si="0"/>
        <v>-500</v>
      </c>
      <c r="F24" s="20">
        <f t="shared" si="4"/>
        <v>2</v>
      </c>
      <c r="G24" s="42">
        <f t="shared" si="1"/>
        <v>0.00111234705228025</v>
      </c>
      <c r="H24" s="25"/>
      <c r="I24" s="36">
        <v>1798</v>
      </c>
      <c r="K24" s="31">
        <f t="shared" si="3"/>
        <v>189</v>
      </c>
      <c r="N24" s="31">
        <f t="shared" si="5"/>
        <v>189</v>
      </c>
    </row>
    <row r="25" ht="17.25" customHeight="1" spans="1:14">
      <c r="A25" s="26" t="s">
        <v>295</v>
      </c>
      <c r="B25" s="44">
        <v>2100</v>
      </c>
      <c r="C25" s="20">
        <v>0</v>
      </c>
      <c r="D25" s="20">
        <v>500</v>
      </c>
      <c r="E25" s="20">
        <f t="shared" si="0"/>
        <v>-1600</v>
      </c>
      <c r="F25" s="20">
        <f t="shared" si="4"/>
        <v>-7657</v>
      </c>
      <c r="G25" s="42">
        <f t="shared" si="1"/>
        <v>-0.938702954517592</v>
      </c>
      <c r="H25" s="25"/>
      <c r="I25" s="36">
        <v>8157</v>
      </c>
      <c r="K25" s="31">
        <f t="shared" si="3"/>
        <v>500</v>
      </c>
      <c r="N25" s="31">
        <f t="shared" si="5"/>
        <v>500</v>
      </c>
    </row>
    <row r="26" ht="17.25" customHeight="1" spans="1:14">
      <c r="A26" s="26" t="s">
        <v>296</v>
      </c>
      <c r="B26" s="44">
        <v>3300</v>
      </c>
      <c r="C26" s="20">
        <v>37658</v>
      </c>
      <c r="D26" s="20">
        <v>37800</v>
      </c>
      <c r="E26" s="20">
        <f t="shared" si="0"/>
        <v>34500</v>
      </c>
      <c r="F26" s="20">
        <f t="shared" si="4"/>
        <v>10745</v>
      </c>
      <c r="G26" s="42">
        <f t="shared" si="1"/>
        <v>0.397153945666235</v>
      </c>
      <c r="H26" s="25"/>
      <c r="I26" s="36">
        <v>27055</v>
      </c>
      <c r="K26" s="31">
        <f t="shared" si="3"/>
        <v>142</v>
      </c>
      <c r="N26" s="31">
        <f t="shared" si="5"/>
        <v>142</v>
      </c>
    </row>
    <row r="27" ht="17.25" customHeight="1" spans="1:14">
      <c r="A27" s="26" t="s">
        <v>297</v>
      </c>
      <c r="B27" s="44">
        <v>60</v>
      </c>
      <c r="C27" s="20">
        <v>0</v>
      </c>
      <c r="D27" s="20">
        <v>65</v>
      </c>
      <c r="E27" s="20">
        <f t="shared" si="0"/>
        <v>5</v>
      </c>
      <c r="F27" s="20">
        <f t="shared" si="4"/>
        <v>-4</v>
      </c>
      <c r="G27" s="42">
        <f t="shared" si="1"/>
        <v>-0.0579710144927537</v>
      </c>
      <c r="H27" s="25"/>
      <c r="I27" s="36">
        <v>69</v>
      </c>
      <c r="K27" s="31">
        <f t="shared" si="3"/>
        <v>65</v>
      </c>
      <c r="N27" s="31">
        <f t="shared" si="5"/>
        <v>65</v>
      </c>
    </row>
    <row r="28" ht="17.25" customHeight="1" spans="1:14">
      <c r="A28" s="26" t="s">
        <v>298</v>
      </c>
      <c r="B28" s="44">
        <v>1300</v>
      </c>
      <c r="C28" s="20">
        <v>0</v>
      </c>
      <c r="D28" s="20">
        <v>1200</v>
      </c>
      <c r="E28" s="20">
        <f t="shared" si="0"/>
        <v>-100</v>
      </c>
      <c r="F28" s="20">
        <f t="shared" si="4"/>
        <v>38</v>
      </c>
      <c r="G28" s="42"/>
      <c r="H28" s="25"/>
      <c r="I28" s="36">
        <v>1162</v>
      </c>
      <c r="K28" s="31"/>
      <c r="N28" s="31"/>
    </row>
    <row r="29" ht="17.25" customHeight="1" spans="1:14">
      <c r="A29" s="26" t="s">
        <v>299</v>
      </c>
      <c r="B29" s="44">
        <v>17740</v>
      </c>
      <c r="C29" s="20">
        <v>14400</v>
      </c>
      <c r="D29" s="20">
        <v>14800</v>
      </c>
      <c r="E29" s="20">
        <f t="shared" si="0"/>
        <v>-2940</v>
      </c>
      <c r="F29" s="20">
        <f t="shared" si="4"/>
        <v>-1260</v>
      </c>
      <c r="G29" s="42">
        <f t="shared" si="1"/>
        <v>-0.0784557907845579</v>
      </c>
      <c r="H29" s="25"/>
      <c r="I29" s="36">
        <v>16060</v>
      </c>
      <c r="K29" s="31">
        <f t="shared" si="3"/>
        <v>400</v>
      </c>
      <c r="N29" s="31">
        <f t="shared" si="5"/>
        <v>400</v>
      </c>
    </row>
    <row r="30" ht="17.25" customHeight="1" spans="1:14">
      <c r="A30" s="13" t="s">
        <v>300</v>
      </c>
      <c r="B30" s="14">
        <f>SUM(B31,B32,B33:B35,B36)</f>
        <v>68650</v>
      </c>
      <c r="C30" s="14">
        <f>SUM(C31,C32,C33:C35,C36)</f>
        <v>63490.5</v>
      </c>
      <c r="D30" s="14">
        <f>SUM(D31,D32,D33:D35,D36)</f>
        <v>72992</v>
      </c>
      <c r="E30" s="15">
        <f t="shared" si="0"/>
        <v>4342</v>
      </c>
      <c r="F30" s="14">
        <f>SUM(F31,F32,F33:F35,F36)</f>
        <v>8457</v>
      </c>
      <c r="G30" s="41">
        <f t="shared" si="1"/>
        <v>0.13106269563331</v>
      </c>
      <c r="H30" s="25"/>
      <c r="I30" s="14">
        <f>SUM(I31,I32,I33:I35,I36)</f>
        <v>64534</v>
      </c>
      <c r="N30" s="31">
        <f t="shared" si="5"/>
        <v>9501.5</v>
      </c>
    </row>
    <row r="31" ht="17.25" customHeight="1" spans="1:14">
      <c r="A31" s="18" t="s">
        <v>301</v>
      </c>
      <c r="B31" s="19">
        <f t="shared" ref="B31:D32" si="6">B13</f>
        <v>29000</v>
      </c>
      <c r="C31" s="19">
        <f t="shared" si="6"/>
        <v>32131</v>
      </c>
      <c r="D31" s="19">
        <f t="shared" si="6"/>
        <v>35800</v>
      </c>
      <c r="E31" s="20">
        <f t="shared" si="0"/>
        <v>6800</v>
      </c>
      <c r="F31" s="20">
        <f>D31-I31</f>
        <v>8234</v>
      </c>
      <c r="G31" s="42">
        <f t="shared" si="1"/>
        <v>0.298701298701299</v>
      </c>
      <c r="H31" s="25"/>
      <c r="I31" s="19">
        <f>I13</f>
        <v>27566</v>
      </c>
      <c r="N31" s="31">
        <f t="shared" si="5"/>
        <v>3669</v>
      </c>
    </row>
    <row r="32" ht="17.25" customHeight="1" spans="1:14">
      <c r="A32" s="18" t="s">
        <v>302</v>
      </c>
      <c r="B32" s="19">
        <f t="shared" si="6"/>
        <v>0</v>
      </c>
      <c r="C32" s="19">
        <f t="shared" si="6"/>
        <v>0</v>
      </c>
      <c r="D32" s="19">
        <f t="shared" si="6"/>
        <v>0</v>
      </c>
      <c r="E32" s="20">
        <f t="shared" si="0"/>
        <v>0</v>
      </c>
      <c r="F32" s="20">
        <f>D32-I32</f>
        <v>0</v>
      </c>
      <c r="G32" s="42"/>
      <c r="H32" s="25"/>
      <c r="I32" s="19">
        <f>I14+I15</f>
        <v>0</v>
      </c>
      <c r="N32" s="31">
        <f t="shared" si="5"/>
        <v>0</v>
      </c>
    </row>
    <row r="33" ht="17.25" customHeight="1" spans="1:14">
      <c r="A33" s="18" t="s">
        <v>303</v>
      </c>
      <c r="B33" s="45">
        <v>63</v>
      </c>
      <c r="C33" s="19">
        <v>48</v>
      </c>
      <c r="D33" s="19">
        <v>60</v>
      </c>
      <c r="E33" s="20">
        <f t="shared" si="0"/>
        <v>-3</v>
      </c>
      <c r="F33" s="20">
        <f>D33-I33</f>
        <v>-3</v>
      </c>
      <c r="G33" s="42">
        <f t="shared" si="1"/>
        <v>-0.0476190476190477</v>
      </c>
      <c r="H33" s="25"/>
      <c r="I33" s="19">
        <v>63</v>
      </c>
      <c r="K33" s="31">
        <f>D33-C33</f>
        <v>12</v>
      </c>
      <c r="N33" s="31">
        <f t="shared" si="5"/>
        <v>12</v>
      </c>
    </row>
    <row r="34" ht="17.25" customHeight="1" spans="1:11">
      <c r="A34" s="18" t="s">
        <v>304</v>
      </c>
      <c r="B34" s="46">
        <v>1937</v>
      </c>
      <c r="C34" s="19">
        <v>2103</v>
      </c>
      <c r="D34" s="19">
        <v>2515</v>
      </c>
      <c r="E34" s="20">
        <f t="shared" si="0"/>
        <v>578</v>
      </c>
      <c r="F34" s="20">
        <f>D34-I34</f>
        <v>121</v>
      </c>
      <c r="G34" s="42">
        <f t="shared" si="1"/>
        <v>0.0505430242272347</v>
      </c>
      <c r="H34" s="25"/>
      <c r="I34" s="19">
        <v>2394</v>
      </c>
      <c r="K34" s="31">
        <f>D34-C34</f>
        <v>412</v>
      </c>
    </row>
    <row r="35" ht="17.25" customHeight="1" spans="1:9">
      <c r="A35" s="18" t="s">
        <v>305</v>
      </c>
      <c r="B35" s="19">
        <f t="shared" ref="B35:D36" si="7">B16*1.5</f>
        <v>26100</v>
      </c>
      <c r="C35" s="19">
        <f>C16*1.5-1</f>
        <v>18986</v>
      </c>
      <c r="D35" s="19">
        <f t="shared" si="7"/>
        <v>21300</v>
      </c>
      <c r="E35" s="20">
        <f t="shared" si="0"/>
        <v>-4800</v>
      </c>
      <c r="F35" s="19">
        <f>F16*1.5</f>
        <v>-2544</v>
      </c>
      <c r="G35" s="42">
        <f t="shared" si="1"/>
        <v>-0.106693507800705</v>
      </c>
      <c r="H35" s="27"/>
      <c r="I35" s="19">
        <f>I16*1.5</f>
        <v>23844</v>
      </c>
    </row>
    <row r="36" ht="17.25" customHeight="1" spans="1:9">
      <c r="A36" s="18" t="s">
        <v>306</v>
      </c>
      <c r="B36" s="19">
        <f t="shared" si="7"/>
        <v>11550</v>
      </c>
      <c r="C36" s="19">
        <f t="shared" si="7"/>
        <v>10222.5</v>
      </c>
      <c r="D36" s="19">
        <f t="shared" si="7"/>
        <v>13317</v>
      </c>
      <c r="E36" s="20">
        <f>SUM(E37:E38)</f>
        <v>-180824</v>
      </c>
      <c r="F36" s="19">
        <f>F17*1.5</f>
        <v>2649</v>
      </c>
      <c r="G36" s="42">
        <f t="shared" si="1"/>
        <v>0.248429736570732</v>
      </c>
      <c r="H36" s="27"/>
      <c r="I36" s="19">
        <f>I17*1.5-1</f>
        <v>10667</v>
      </c>
    </row>
    <row r="37" ht="17.25" customHeight="1" spans="1:11">
      <c r="A37" s="13" t="s">
        <v>307</v>
      </c>
      <c r="B37" s="14">
        <f>SUM(B38:B43)</f>
        <v>248400</v>
      </c>
      <c r="C37" s="14">
        <f>SUM(C38:C43)</f>
        <v>52358</v>
      </c>
      <c r="D37" s="14">
        <f>SUM(D38:D43)</f>
        <v>67183</v>
      </c>
      <c r="E37" s="15">
        <f>SUM(E38:E43)</f>
        <v>-181217</v>
      </c>
      <c r="F37" s="14">
        <f>SUM(F38:F43)</f>
        <v>-139538</v>
      </c>
      <c r="G37" s="41">
        <f t="shared" si="1"/>
        <v>-0.675006409605217</v>
      </c>
      <c r="H37" s="27"/>
      <c r="I37" s="14">
        <f>SUM(I38:I43)</f>
        <v>206721</v>
      </c>
      <c r="K37" s="31">
        <f>D37-I37</f>
        <v>-139538</v>
      </c>
    </row>
    <row r="38" ht="17.25" customHeight="1" spans="1:11">
      <c r="A38" s="28" t="s">
        <v>308</v>
      </c>
      <c r="B38" s="29">
        <v>0</v>
      </c>
      <c r="C38" s="20">
        <v>393</v>
      </c>
      <c r="D38" s="20">
        <v>393</v>
      </c>
      <c r="E38" s="20">
        <f t="shared" si="0"/>
        <v>393</v>
      </c>
      <c r="F38" s="20">
        <f t="shared" ref="F38:F43" si="8">D38-I38</f>
        <v>-1957</v>
      </c>
      <c r="G38" s="42">
        <f t="shared" si="1"/>
        <v>-0.832765957446808</v>
      </c>
      <c r="H38" s="27"/>
      <c r="I38" s="20">
        <v>2350</v>
      </c>
      <c r="K38" s="31">
        <f t="shared" ref="K38:K43" si="9">D38-C38</f>
        <v>0</v>
      </c>
    </row>
    <row r="39" ht="17.25" customHeight="1" spans="1:11">
      <c r="A39" s="28" t="s">
        <v>309</v>
      </c>
      <c r="B39" s="29">
        <v>244650</v>
      </c>
      <c r="C39" s="20">
        <v>50002</v>
      </c>
      <c r="D39" s="20">
        <v>64336</v>
      </c>
      <c r="E39" s="20">
        <f t="shared" si="0"/>
        <v>-180314</v>
      </c>
      <c r="F39" s="20">
        <f t="shared" si="8"/>
        <v>-135847</v>
      </c>
      <c r="G39" s="42">
        <f t="shared" si="1"/>
        <v>-0.678614068127663</v>
      </c>
      <c r="H39" s="27"/>
      <c r="I39" s="36">
        <v>200183</v>
      </c>
      <c r="K39" s="31">
        <f t="shared" si="9"/>
        <v>14334</v>
      </c>
    </row>
    <row r="40" ht="17.25" customHeight="1" spans="1:11">
      <c r="A40" s="28" t="s">
        <v>310</v>
      </c>
      <c r="B40" s="29">
        <v>2400</v>
      </c>
      <c r="C40" s="20">
        <v>587</v>
      </c>
      <c r="D40" s="20">
        <v>1000</v>
      </c>
      <c r="E40" s="20">
        <f t="shared" si="0"/>
        <v>-1400</v>
      </c>
      <c r="F40" s="20">
        <f t="shared" si="8"/>
        <v>-1797</v>
      </c>
      <c r="G40" s="42">
        <f t="shared" si="1"/>
        <v>-0.642474079370754</v>
      </c>
      <c r="H40" s="27"/>
      <c r="I40" s="36">
        <v>2797</v>
      </c>
      <c r="K40" s="31">
        <f t="shared" si="9"/>
        <v>413</v>
      </c>
    </row>
    <row r="41" ht="17.25" customHeight="1" spans="1:11">
      <c r="A41" s="28" t="s">
        <v>311</v>
      </c>
      <c r="B41" s="29">
        <v>900</v>
      </c>
      <c r="C41" s="20">
        <v>974</v>
      </c>
      <c r="D41" s="20">
        <v>974</v>
      </c>
      <c r="E41" s="20">
        <f t="shared" si="0"/>
        <v>74</v>
      </c>
      <c r="F41" s="20">
        <f t="shared" si="8"/>
        <v>79</v>
      </c>
      <c r="G41" s="42">
        <f t="shared" si="1"/>
        <v>0.0882681564245811</v>
      </c>
      <c r="H41" s="27"/>
      <c r="I41" s="40">
        <v>895</v>
      </c>
      <c r="K41" s="31">
        <f t="shared" si="9"/>
        <v>0</v>
      </c>
    </row>
    <row r="42" ht="17.25" customHeight="1" spans="1:11">
      <c r="A42" s="28" t="s">
        <v>312</v>
      </c>
      <c r="B42" s="29">
        <v>120</v>
      </c>
      <c r="C42" s="20">
        <v>130</v>
      </c>
      <c r="D42" s="20">
        <v>150</v>
      </c>
      <c r="E42" s="20">
        <f t="shared" si="0"/>
        <v>30</v>
      </c>
      <c r="F42" s="20">
        <f t="shared" si="8"/>
        <v>15</v>
      </c>
      <c r="G42" s="42">
        <f t="shared" si="1"/>
        <v>0.111111111111111</v>
      </c>
      <c r="H42" s="27"/>
      <c r="I42" s="20">
        <v>135</v>
      </c>
      <c r="K42" s="31">
        <f t="shared" si="9"/>
        <v>20</v>
      </c>
    </row>
    <row r="43" ht="17.25" customHeight="1" spans="1:11">
      <c r="A43" s="28" t="s">
        <v>313</v>
      </c>
      <c r="B43" s="29">
        <v>330</v>
      </c>
      <c r="C43" s="20">
        <v>272</v>
      </c>
      <c r="D43" s="20">
        <v>330</v>
      </c>
      <c r="E43" s="20">
        <f t="shared" si="0"/>
        <v>0</v>
      </c>
      <c r="F43" s="20">
        <f t="shared" si="8"/>
        <v>-31</v>
      </c>
      <c r="G43" s="42">
        <f t="shared" si="1"/>
        <v>-0.0858725761772853</v>
      </c>
      <c r="H43" s="27"/>
      <c r="I43" s="20">
        <v>361</v>
      </c>
      <c r="K43" s="31">
        <f t="shared" si="9"/>
        <v>58</v>
      </c>
    </row>
    <row r="44" spans="4:9">
      <c r="D44" s="30"/>
      <c r="E44" s="30"/>
      <c r="F44" s="30"/>
      <c r="I44" s="30"/>
    </row>
    <row r="45" spans="4:9">
      <c r="D45" s="3">
        <f>(D22+1500)/D9</f>
        <v>0.0536458689263992</v>
      </c>
      <c r="I45" s="3">
        <f>I22/I9</f>
        <v>0.033517017828201</v>
      </c>
    </row>
  </sheetData>
  <mergeCells count="5">
    <mergeCell ref="A1:G1"/>
    <mergeCell ref="D3:G3"/>
    <mergeCell ref="A3:A4"/>
    <mergeCell ref="B3:B4"/>
    <mergeCell ref="C3:C4"/>
  </mergeCells>
  <pageMargins left="0.747916666666667" right="0" top="0.590277777777778" bottom="0.393055555555556" header="0.511805555555556" footer="0.51180555555555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44"/>
  <sheetViews>
    <sheetView workbookViewId="0">
      <selection activeCell="O19" sqref="O19"/>
    </sheetView>
  </sheetViews>
  <sheetFormatPr defaultColWidth="9" defaultRowHeight="12.75"/>
  <cols>
    <col min="1" max="1" width="27.875" style="1" customWidth="1"/>
    <col min="2" max="2" width="8.875" style="2" customWidth="1"/>
    <col min="3" max="3" width="9.25" style="1" customWidth="1"/>
    <col min="4" max="4" width="9.25" style="3" customWidth="1"/>
    <col min="5" max="6" width="8.875" style="3" customWidth="1"/>
    <col min="7" max="7" width="8.875" style="1" customWidth="1"/>
    <col min="8" max="8" width="2.375" style="1" customWidth="1"/>
    <col min="9" max="9" width="9.5" style="3" customWidth="1"/>
    <col min="10" max="16384" width="9" style="1"/>
  </cols>
  <sheetData>
    <row r="1" ht="21.75" customHeight="1" spans="1:8">
      <c r="A1" s="4" t="s">
        <v>316</v>
      </c>
      <c r="B1" s="4"/>
      <c r="C1" s="4"/>
      <c r="D1" s="4"/>
      <c r="E1" s="4"/>
      <c r="F1" s="4"/>
      <c r="G1" s="4"/>
      <c r="H1" s="4"/>
    </row>
    <row r="2" ht="15.75" customHeight="1" spans="1:7">
      <c r="A2" s="2" t="s">
        <v>1</v>
      </c>
      <c r="G2" s="2" t="s">
        <v>115</v>
      </c>
    </row>
    <row r="3" ht="14.25" customHeight="1" spans="1:8">
      <c r="A3" s="5" t="s">
        <v>268</v>
      </c>
      <c r="B3" s="6" t="s">
        <v>269</v>
      </c>
      <c r="C3" s="6" t="s">
        <v>314</v>
      </c>
      <c r="D3" s="7" t="s">
        <v>272</v>
      </c>
      <c r="E3" s="7"/>
      <c r="F3" s="7"/>
      <c r="G3" s="7"/>
      <c r="H3" s="8"/>
    </row>
    <row r="4" ht="14.25" customHeight="1" spans="1:13">
      <c r="A4" s="9"/>
      <c r="B4" s="10"/>
      <c r="C4" s="10"/>
      <c r="D4" s="11" t="s">
        <v>17</v>
      </c>
      <c r="E4" s="11" t="s">
        <v>275</v>
      </c>
      <c r="F4" s="11" t="s">
        <v>315</v>
      </c>
      <c r="G4" s="11" t="s">
        <v>276</v>
      </c>
      <c r="H4" s="12"/>
      <c r="M4" s="1">
        <f>K9/K6</f>
        <v>0.573257771560003</v>
      </c>
    </row>
    <row r="5" ht="17.25" customHeight="1" spans="1:11">
      <c r="A5" s="13" t="s">
        <v>277</v>
      </c>
      <c r="B5" s="14">
        <f>SUM(B6:B7)</f>
        <v>198400</v>
      </c>
      <c r="C5" s="14">
        <f>SUM(C6:C7)</f>
        <v>130047.5</v>
      </c>
      <c r="D5" s="14">
        <f>SUM(D6:D7)</f>
        <v>160000</v>
      </c>
      <c r="E5" s="15">
        <f t="shared" ref="E5:E42" si="0">D5-B5</f>
        <v>-38400</v>
      </c>
      <c r="F5" s="14">
        <f>SUM(F6:F7)</f>
        <v>-33969</v>
      </c>
      <c r="G5" s="16">
        <f t="shared" ref="G5:G42" si="1">D5/I5-1</f>
        <v>-0.175125922183442</v>
      </c>
      <c r="H5" s="17"/>
      <c r="I5" s="14">
        <f>SUM(I6:I7)</f>
        <v>193969</v>
      </c>
      <c r="K5" s="31">
        <f>D5-C5</f>
        <v>29952.5</v>
      </c>
    </row>
    <row r="6" ht="17.25" customHeight="1" spans="1:14">
      <c r="A6" s="18" t="s">
        <v>278</v>
      </c>
      <c r="B6" s="19">
        <f>SUM(B9,B29)</f>
        <v>166500</v>
      </c>
      <c r="C6" s="19">
        <f>SUM(C9,C29)</f>
        <v>101413.5</v>
      </c>
      <c r="D6" s="19">
        <f>SUM(D9,D29)</f>
        <v>122500</v>
      </c>
      <c r="E6" s="20">
        <f t="shared" si="0"/>
        <v>-44000</v>
      </c>
      <c r="F6" s="19">
        <f>SUM(F9,F29)</f>
        <v>-39256</v>
      </c>
      <c r="G6" s="21">
        <f t="shared" si="1"/>
        <v>-0.24268651549247</v>
      </c>
      <c r="H6" s="22"/>
      <c r="I6" s="19">
        <f>SUM(I9,I29)</f>
        <v>161756</v>
      </c>
      <c r="K6" s="31">
        <f>D6-C6</f>
        <v>21086.5</v>
      </c>
      <c r="N6" s="31">
        <f t="shared" ref="N6:N13" si="2">D6-C6</f>
        <v>21086.5</v>
      </c>
    </row>
    <row r="7" ht="17.25" customHeight="1" spans="1:14">
      <c r="A7" s="18" t="s">
        <v>279</v>
      </c>
      <c r="B7" s="19">
        <f>SUM(B21:B23,B25:B28)-B24</f>
        <v>31900</v>
      </c>
      <c r="C7" s="19">
        <f>SUM(C21:C23,C25:C28)-C24</f>
        <v>28634</v>
      </c>
      <c r="D7" s="19">
        <f>SUM(D21:D23,D25:D28)-D24</f>
        <v>37500</v>
      </c>
      <c r="E7" s="20">
        <f t="shared" si="0"/>
        <v>5600</v>
      </c>
      <c r="F7" s="19">
        <f>SUM(F21:F23,F25:F28)-F24</f>
        <v>5287</v>
      </c>
      <c r="G7" s="21">
        <f t="shared" si="1"/>
        <v>0.164126284419334</v>
      </c>
      <c r="H7" s="23"/>
      <c r="I7" s="19">
        <f>SUM(I21:I23,I25:I28)-I24</f>
        <v>32213</v>
      </c>
      <c r="K7" s="31">
        <f t="shared" ref="K7:K28" si="3">D7-C7</f>
        <v>8866</v>
      </c>
      <c r="N7" s="31">
        <f t="shared" si="2"/>
        <v>8866</v>
      </c>
    </row>
    <row r="8" ht="17.25" customHeight="1" spans="1:17">
      <c r="A8" s="13" t="s">
        <v>280</v>
      </c>
      <c r="B8" s="14">
        <f>SUM(B9:B10)</f>
        <v>126400</v>
      </c>
      <c r="C8" s="14">
        <f>SUM(C9:C10)</f>
        <v>84046</v>
      </c>
      <c r="D8" s="14">
        <f>SUM(D9:D10)</f>
        <v>105000</v>
      </c>
      <c r="E8" s="15">
        <f t="shared" si="0"/>
        <v>-21400</v>
      </c>
      <c r="F8" s="14">
        <f>SUM(F9:F10)</f>
        <v>-17700</v>
      </c>
      <c r="G8" s="16">
        <f t="shared" si="1"/>
        <v>-0.144254278728606</v>
      </c>
      <c r="H8" s="24"/>
      <c r="I8" s="14">
        <f>SUM(I9:I10)</f>
        <v>122700</v>
      </c>
      <c r="K8" s="31">
        <f t="shared" si="3"/>
        <v>20954</v>
      </c>
      <c r="N8" s="31">
        <f t="shared" si="2"/>
        <v>20954</v>
      </c>
      <c r="Q8" s="31">
        <f>SUM(C10:C11)</f>
        <v>82666</v>
      </c>
    </row>
    <row r="9" ht="17.25" customHeight="1" spans="1:17">
      <c r="A9" s="18" t="s">
        <v>278</v>
      </c>
      <c r="B9" s="19">
        <f>SUM(B13,B14,B15,B16,B17,B18,B19,B24)</f>
        <v>94500</v>
      </c>
      <c r="C9" s="19">
        <f>SUM(C13,C14,C15,C16,C17,C18,C19,C24)</f>
        <v>55412</v>
      </c>
      <c r="D9" s="19">
        <f>SUM(D13,D14,D15,D16,D17,D18,D19,D24)</f>
        <v>67500</v>
      </c>
      <c r="E9" s="20">
        <f t="shared" si="0"/>
        <v>-27000</v>
      </c>
      <c r="F9" s="20">
        <f>D9-I9</f>
        <v>-22987</v>
      </c>
      <c r="G9" s="21">
        <f t="shared" si="1"/>
        <v>-0.254036491429708</v>
      </c>
      <c r="H9" s="17"/>
      <c r="I9" s="19">
        <f>SUM(I13,I14,I15,I16,I17,I18,I19,I24)</f>
        <v>90487</v>
      </c>
      <c r="K9" s="31">
        <f t="shared" si="3"/>
        <v>12088</v>
      </c>
      <c r="N9" s="31">
        <f t="shared" si="2"/>
        <v>12088</v>
      </c>
      <c r="Q9" s="31">
        <f>SUM(C6:C7)</f>
        <v>130047.5</v>
      </c>
    </row>
    <row r="10" ht="17.25" customHeight="1" spans="1:14">
      <c r="A10" s="18" t="s">
        <v>279</v>
      </c>
      <c r="B10" s="19">
        <f>B7</f>
        <v>31900</v>
      </c>
      <c r="C10" s="19">
        <f>C7</f>
        <v>28634</v>
      </c>
      <c r="D10" s="19">
        <f>D7</f>
        <v>37500</v>
      </c>
      <c r="E10" s="20">
        <f t="shared" si="0"/>
        <v>5600</v>
      </c>
      <c r="F10" s="19">
        <f>F7</f>
        <v>5287</v>
      </c>
      <c r="G10" s="21">
        <f t="shared" si="1"/>
        <v>0.164126284419334</v>
      </c>
      <c r="H10" s="22"/>
      <c r="I10" s="19">
        <f>I7</f>
        <v>32213</v>
      </c>
      <c r="K10" s="31">
        <f t="shared" si="3"/>
        <v>8866</v>
      </c>
      <c r="N10" s="31">
        <f t="shared" si="2"/>
        <v>8866</v>
      </c>
    </row>
    <row r="11" ht="17.25" customHeight="1" spans="1:17">
      <c r="A11" s="13" t="s">
        <v>281</v>
      </c>
      <c r="B11" s="14">
        <f>SUM(B12,B15:B16,B17:B19)</f>
        <v>91900</v>
      </c>
      <c r="C11" s="14">
        <f>SUM(C12,C15:C16,C17:C19)</f>
        <v>54032</v>
      </c>
      <c r="D11" s="14">
        <f>SUM(D12,D15:D16,D17:D19)</f>
        <v>65800</v>
      </c>
      <c r="E11" s="15">
        <f t="shared" si="0"/>
        <v>-26100</v>
      </c>
      <c r="F11" s="14">
        <f>SUM(F12,F15:F16,F17:F19)</f>
        <v>-21991</v>
      </c>
      <c r="G11" s="16">
        <f t="shared" si="1"/>
        <v>-0.250492647310089</v>
      </c>
      <c r="H11" s="22"/>
      <c r="I11" s="14">
        <f>SUM(I12,I15:I16,I17:I19)</f>
        <v>87791</v>
      </c>
      <c r="K11" s="31">
        <f t="shared" si="3"/>
        <v>11768</v>
      </c>
      <c r="N11" s="31">
        <f t="shared" si="2"/>
        <v>11768</v>
      </c>
      <c r="Q11" s="1">
        <f>Q8/Q9</f>
        <v>0.635660047290413</v>
      </c>
    </row>
    <row r="12" ht="17.25" customHeight="1" spans="1:17">
      <c r="A12" s="18" t="s">
        <v>282</v>
      </c>
      <c r="B12" s="19">
        <f>SUM(B13:B14)</f>
        <v>45550</v>
      </c>
      <c r="C12" s="19">
        <f>SUM(C13:C14)</f>
        <v>22360</v>
      </c>
      <c r="D12" s="19">
        <f>SUM(D13:D14)</f>
        <v>28070</v>
      </c>
      <c r="E12" s="20">
        <f t="shared" si="0"/>
        <v>-17480</v>
      </c>
      <c r="F12" s="19">
        <f>SUM(F13:F14)</f>
        <v>-17129</v>
      </c>
      <c r="G12" s="21">
        <f t="shared" si="1"/>
        <v>-0.378968561251355</v>
      </c>
      <c r="H12" s="22"/>
      <c r="I12" s="19">
        <f>SUM(I13:I14)</f>
        <v>45199</v>
      </c>
      <c r="K12" s="31">
        <f t="shared" si="3"/>
        <v>5710</v>
      </c>
      <c r="N12" s="31">
        <f t="shared" si="2"/>
        <v>5710</v>
      </c>
      <c r="Q12" s="1">
        <v>7500</v>
      </c>
    </row>
    <row r="13" ht="17.25" customHeight="1" spans="1:17">
      <c r="A13" s="18" t="s">
        <v>283</v>
      </c>
      <c r="B13" s="19">
        <v>28200</v>
      </c>
      <c r="C13" s="20">
        <v>13920</v>
      </c>
      <c r="D13" s="20">
        <v>17110</v>
      </c>
      <c r="E13" s="20">
        <f t="shared" si="0"/>
        <v>-11090</v>
      </c>
      <c r="F13" s="20">
        <f t="shared" ref="F13:F28" si="4">D13-I13</f>
        <v>-11459</v>
      </c>
      <c r="G13" s="21">
        <f t="shared" si="1"/>
        <v>-0.401099093422941</v>
      </c>
      <c r="H13" s="25"/>
      <c r="I13" s="32">
        <v>28569</v>
      </c>
      <c r="J13" s="33"/>
      <c r="K13" s="31">
        <f t="shared" si="3"/>
        <v>3190</v>
      </c>
      <c r="L13" s="34"/>
      <c r="N13" s="31">
        <f t="shared" si="2"/>
        <v>3190</v>
      </c>
      <c r="Q13" s="1">
        <f>Q11*Q12</f>
        <v>4767.4503546781</v>
      </c>
    </row>
    <row r="14" ht="17.25" customHeight="1" spans="1:12">
      <c r="A14" s="18" t="s">
        <v>284</v>
      </c>
      <c r="B14" s="19">
        <v>17350</v>
      </c>
      <c r="C14" s="20">
        <v>8440</v>
      </c>
      <c r="D14" s="20">
        <v>10960</v>
      </c>
      <c r="E14" s="20">
        <f t="shared" si="0"/>
        <v>-6390</v>
      </c>
      <c r="F14" s="20">
        <f t="shared" si="4"/>
        <v>-5670</v>
      </c>
      <c r="G14" s="21">
        <f t="shared" si="1"/>
        <v>-0.340950090198437</v>
      </c>
      <c r="H14" s="25"/>
      <c r="I14" s="32">
        <v>16630</v>
      </c>
      <c r="J14" s="34"/>
      <c r="K14" s="31">
        <f t="shared" si="3"/>
        <v>2520</v>
      </c>
      <c r="L14" s="35"/>
    </row>
    <row r="15" ht="17.25" customHeight="1" spans="1:14">
      <c r="A15" s="18" t="s">
        <v>285</v>
      </c>
      <c r="B15" s="19">
        <v>0</v>
      </c>
      <c r="C15" s="20"/>
      <c r="D15" s="20"/>
      <c r="E15" s="20">
        <f t="shared" si="0"/>
        <v>0</v>
      </c>
      <c r="F15" s="20">
        <f t="shared" si="4"/>
        <v>0</v>
      </c>
      <c r="G15" s="21" t="e">
        <f t="shared" si="1"/>
        <v>#DIV/0!</v>
      </c>
      <c r="H15" s="25"/>
      <c r="I15" s="36"/>
      <c r="J15" s="34"/>
      <c r="K15" s="31">
        <f t="shared" si="3"/>
        <v>0</v>
      </c>
      <c r="L15" s="34"/>
      <c r="N15" s="31">
        <f>D15-C15</f>
        <v>0</v>
      </c>
    </row>
    <row r="16" ht="17.25" customHeight="1" spans="1:12">
      <c r="A16" s="18" t="s">
        <v>286</v>
      </c>
      <c r="B16" s="19">
        <v>11450</v>
      </c>
      <c r="C16" s="20">
        <v>9119</v>
      </c>
      <c r="D16" s="20">
        <v>9400</v>
      </c>
      <c r="E16" s="20">
        <f t="shared" si="0"/>
        <v>-2050</v>
      </c>
      <c r="F16" s="20">
        <f t="shared" si="4"/>
        <v>-1806</v>
      </c>
      <c r="G16" s="21">
        <f t="shared" si="1"/>
        <v>-0.161163662323755</v>
      </c>
      <c r="H16" s="25"/>
      <c r="I16" s="36">
        <v>11206</v>
      </c>
      <c r="J16" s="34"/>
      <c r="K16" s="31">
        <f t="shared" si="3"/>
        <v>281</v>
      </c>
      <c r="L16" s="34"/>
    </row>
    <row r="17" ht="17.25" customHeight="1" spans="1:14">
      <c r="A17" s="18" t="s">
        <v>287</v>
      </c>
      <c r="B17" s="19">
        <v>2000</v>
      </c>
      <c r="C17" s="20">
        <v>2986</v>
      </c>
      <c r="D17" s="20">
        <v>4140</v>
      </c>
      <c r="E17" s="20">
        <f t="shared" si="0"/>
        <v>2140</v>
      </c>
      <c r="F17" s="20">
        <f t="shared" si="4"/>
        <v>1988</v>
      </c>
      <c r="G17" s="21">
        <f t="shared" si="1"/>
        <v>0.923791821561338</v>
      </c>
      <c r="H17" s="25"/>
      <c r="I17" s="37">
        <v>2152</v>
      </c>
      <c r="J17" s="34"/>
      <c r="K17" s="31">
        <f t="shared" si="3"/>
        <v>1154</v>
      </c>
      <c r="L17" s="34"/>
      <c r="N17" s="31">
        <f>D17-C17</f>
        <v>1154</v>
      </c>
    </row>
    <row r="18" ht="17.25" customHeight="1" spans="1:14">
      <c r="A18" s="18" t="s">
        <v>288</v>
      </c>
      <c r="B18" s="19">
        <v>24600</v>
      </c>
      <c r="C18" s="20">
        <v>15424</v>
      </c>
      <c r="D18" s="20">
        <v>19050</v>
      </c>
      <c r="E18" s="20">
        <f t="shared" si="0"/>
        <v>-5550</v>
      </c>
      <c r="F18" s="20">
        <f t="shared" si="4"/>
        <v>-2298</v>
      </c>
      <c r="G18" s="21">
        <f t="shared" si="1"/>
        <v>-0.107644744238336</v>
      </c>
      <c r="H18" s="25"/>
      <c r="I18" s="37">
        <v>21348</v>
      </c>
      <c r="J18" s="34"/>
      <c r="K18" s="31">
        <f t="shared" si="3"/>
        <v>3626</v>
      </c>
      <c r="L18" s="34"/>
      <c r="N18" s="31">
        <f>D18-C18</f>
        <v>3626</v>
      </c>
    </row>
    <row r="19" ht="17.25" customHeight="1" spans="1:14">
      <c r="A19" s="18" t="s">
        <v>289</v>
      </c>
      <c r="B19" s="19">
        <v>8300</v>
      </c>
      <c r="C19" s="20">
        <v>4143</v>
      </c>
      <c r="D19" s="20">
        <v>5140</v>
      </c>
      <c r="E19" s="20">
        <f t="shared" si="0"/>
        <v>-3160</v>
      </c>
      <c r="F19" s="20">
        <f t="shared" si="4"/>
        <v>-2746</v>
      </c>
      <c r="G19" s="21">
        <f t="shared" si="1"/>
        <v>-0.348212021303576</v>
      </c>
      <c r="H19" s="25"/>
      <c r="I19" s="37">
        <v>7886</v>
      </c>
      <c r="J19" s="38"/>
      <c r="K19" s="31">
        <f t="shared" si="3"/>
        <v>997</v>
      </c>
      <c r="L19" s="38"/>
      <c r="N19" s="31">
        <f>D19-C19</f>
        <v>997</v>
      </c>
    </row>
    <row r="20" ht="17.25" customHeight="1" spans="1:14">
      <c r="A20" s="13" t="s">
        <v>290</v>
      </c>
      <c r="B20" s="14">
        <f>SUM(B21:B23,B25:B26,B27:B28)</f>
        <v>34500</v>
      </c>
      <c r="C20" s="14">
        <f>SUM(C21:C23,C25:C26,C27:C28)</f>
        <v>30014</v>
      </c>
      <c r="D20" s="14">
        <f>SUM(D21:D23,D25:D26,D27:D28)</f>
        <v>39200</v>
      </c>
      <c r="E20" s="15">
        <f t="shared" si="0"/>
        <v>4700</v>
      </c>
      <c r="F20" s="14">
        <f>SUM(F21:F23,F25:F26,F27:F28)</f>
        <v>4291</v>
      </c>
      <c r="G20" s="16">
        <f t="shared" si="1"/>
        <v>0.122919590936435</v>
      </c>
      <c r="H20" s="25"/>
      <c r="I20" s="14">
        <f>SUM(I21:I23,I25:I26,I27:I28)</f>
        <v>34909</v>
      </c>
      <c r="K20" s="31">
        <f t="shared" si="3"/>
        <v>9186</v>
      </c>
      <c r="N20" s="31">
        <f>D20-C20</f>
        <v>9186</v>
      </c>
    </row>
    <row r="21" ht="17.25" customHeight="1" spans="1:14">
      <c r="A21" s="18" t="s">
        <v>291</v>
      </c>
      <c r="B21" s="19">
        <v>1200</v>
      </c>
      <c r="C21" s="20">
        <v>869</v>
      </c>
      <c r="D21" s="20">
        <v>2700</v>
      </c>
      <c r="E21" s="20">
        <f t="shared" si="0"/>
        <v>1500</v>
      </c>
      <c r="F21" s="20">
        <f t="shared" si="4"/>
        <v>1566</v>
      </c>
      <c r="G21" s="21">
        <f t="shared" si="1"/>
        <v>1.38095238095238</v>
      </c>
      <c r="H21" s="25"/>
      <c r="I21" s="37">
        <v>1134</v>
      </c>
      <c r="K21" s="31">
        <f t="shared" si="3"/>
        <v>1831</v>
      </c>
      <c r="N21" s="31">
        <f>D21-C21</f>
        <v>1831</v>
      </c>
    </row>
    <row r="22" ht="17.25" customHeight="1" spans="1:14">
      <c r="A22" s="18" t="s">
        <v>292</v>
      </c>
      <c r="B22" s="19">
        <v>3000</v>
      </c>
      <c r="C22" s="20">
        <v>1972</v>
      </c>
      <c r="D22" s="20">
        <v>2300</v>
      </c>
      <c r="E22" s="20">
        <f t="shared" si="0"/>
        <v>-700</v>
      </c>
      <c r="F22" s="20">
        <f t="shared" si="4"/>
        <v>-1356</v>
      </c>
      <c r="G22" s="21">
        <f t="shared" si="1"/>
        <v>-0.37089715536105</v>
      </c>
      <c r="H22" s="25"/>
      <c r="I22" s="39">
        <v>3656</v>
      </c>
      <c r="K22" s="31">
        <f t="shared" si="3"/>
        <v>328</v>
      </c>
      <c r="N22" s="31">
        <f t="shared" ref="N22:N32" si="5">D22-C22</f>
        <v>328</v>
      </c>
    </row>
    <row r="23" ht="17.25" customHeight="1" spans="1:14">
      <c r="A23" s="26" t="s">
        <v>293</v>
      </c>
      <c r="B23" s="19">
        <v>8500</v>
      </c>
      <c r="C23" s="20">
        <v>3802</v>
      </c>
      <c r="D23" s="20">
        <v>8500</v>
      </c>
      <c r="E23" s="20">
        <f t="shared" si="0"/>
        <v>0</v>
      </c>
      <c r="F23" s="20">
        <f t="shared" si="4"/>
        <v>117</v>
      </c>
      <c r="G23" s="21">
        <f t="shared" si="1"/>
        <v>0.0139568173684839</v>
      </c>
      <c r="H23" s="25"/>
      <c r="I23" s="36">
        <v>8383</v>
      </c>
      <c r="K23" s="31">
        <f t="shared" si="3"/>
        <v>4698</v>
      </c>
      <c r="N23" s="31">
        <f t="shared" si="5"/>
        <v>4698</v>
      </c>
    </row>
    <row r="24" ht="17.25" customHeight="1" spans="1:14">
      <c r="A24" s="26" t="s">
        <v>294</v>
      </c>
      <c r="B24" s="19">
        <v>2600</v>
      </c>
      <c r="C24" s="20">
        <v>1380</v>
      </c>
      <c r="D24" s="20">
        <v>1700</v>
      </c>
      <c r="E24" s="20">
        <f t="shared" si="0"/>
        <v>-900</v>
      </c>
      <c r="F24" s="20">
        <f t="shared" si="4"/>
        <v>-996</v>
      </c>
      <c r="G24" s="21">
        <f t="shared" si="1"/>
        <v>-0.369436201780415</v>
      </c>
      <c r="H24" s="25"/>
      <c r="I24" s="36">
        <v>2696</v>
      </c>
      <c r="K24" s="31">
        <f t="shared" si="3"/>
        <v>320</v>
      </c>
      <c r="N24" s="31">
        <f t="shared" si="5"/>
        <v>320</v>
      </c>
    </row>
    <row r="25" ht="17.25" customHeight="1" spans="1:14">
      <c r="A25" s="26" t="s">
        <v>295</v>
      </c>
      <c r="B25" s="19">
        <v>5400</v>
      </c>
      <c r="C25" s="20"/>
      <c r="D25" s="20"/>
      <c r="E25" s="20">
        <f t="shared" si="0"/>
        <v>-5400</v>
      </c>
      <c r="F25" s="20">
        <f t="shared" si="4"/>
        <v>-5400</v>
      </c>
      <c r="G25" s="21">
        <f t="shared" si="1"/>
        <v>-1</v>
      </c>
      <c r="H25" s="25"/>
      <c r="I25" s="36">
        <v>5400</v>
      </c>
      <c r="K25" s="31">
        <f t="shared" si="3"/>
        <v>0</v>
      </c>
      <c r="N25" s="31">
        <f t="shared" si="5"/>
        <v>0</v>
      </c>
    </row>
    <row r="26" ht="17.25" customHeight="1" spans="1:14">
      <c r="A26" s="26" t="s">
        <v>296</v>
      </c>
      <c r="B26" s="19">
        <v>1400</v>
      </c>
      <c r="C26" s="20">
        <v>987</v>
      </c>
      <c r="D26" s="20">
        <v>1400</v>
      </c>
      <c r="E26" s="20">
        <f t="shared" si="0"/>
        <v>0</v>
      </c>
      <c r="F26" s="20">
        <f t="shared" si="4"/>
        <v>-59</v>
      </c>
      <c r="G26" s="21">
        <f t="shared" si="1"/>
        <v>-0.0404386566141193</v>
      </c>
      <c r="H26" s="25"/>
      <c r="I26" s="36">
        <v>1459</v>
      </c>
      <c r="K26" s="31">
        <f t="shared" si="3"/>
        <v>413</v>
      </c>
      <c r="N26" s="31">
        <f t="shared" si="5"/>
        <v>413</v>
      </c>
    </row>
    <row r="27" ht="17.25" customHeight="1" spans="1:14">
      <c r="A27" s="26" t="s">
        <v>297</v>
      </c>
      <c r="B27" s="19">
        <v>55</v>
      </c>
      <c r="C27" s="20"/>
      <c r="D27" s="20">
        <v>55</v>
      </c>
      <c r="E27" s="20">
        <f t="shared" si="0"/>
        <v>0</v>
      </c>
      <c r="F27" s="20">
        <f t="shared" si="4"/>
        <v>5</v>
      </c>
      <c r="G27" s="21">
        <f t="shared" si="1"/>
        <v>0.1</v>
      </c>
      <c r="H27" s="25"/>
      <c r="I27" s="36">
        <v>50</v>
      </c>
      <c r="K27" s="31">
        <f t="shared" si="3"/>
        <v>55</v>
      </c>
      <c r="N27" s="31">
        <f t="shared" si="5"/>
        <v>55</v>
      </c>
    </row>
    <row r="28" ht="17.25" customHeight="1" spans="1:14">
      <c r="A28" s="26" t="s">
        <v>299</v>
      </c>
      <c r="B28" s="19">
        <v>14945</v>
      </c>
      <c r="C28" s="20">
        <v>22384</v>
      </c>
      <c r="D28" s="20">
        <v>24245</v>
      </c>
      <c r="E28" s="20">
        <f t="shared" si="0"/>
        <v>9300</v>
      </c>
      <c r="F28" s="20">
        <f t="shared" si="4"/>
        <v>9418</v>
      </c>
      <c r="G28" s="21">
        <f t="shared" si="1"/>
        <v>0.635192554124233</v>
      </c>
      <c r="H28" s="25"/>
      <c r="I28" s="36">
        <v>14827</v>
      </c>
      <c r="K28" s="31">
        <f t="shared" si="3"/>
        <v>1861</v>
      </c>
      <c r="N28" s="31">
        <f t="shared" si="5"/>
        <v>1861</v>
      </c>
    </row>
    <row r="29" ht="17.25" customHeight="1" spans="1:14">
      <c r="A29" s="13" t="s">
        <v>300</v>
      </c>
      <c r="B29" s="14">
        <f>SUM(B30,B31,B32:B34,B35)</f>
        <v>72000</v>
      </c>
      <c r="C29" s="14">
        <f>SUM(C30,C31,C32:C34,C35)</f>
        <v>46001.5</v>
      </c>
      <c r="D29" s="14">
        <f>SUM(D30,D31,D32:D34,D35)</f>
        <v>55000</v>
      </c>
      <c r="E29" s="15">
        <f t="shared" si="0"/>
        <v>-17000</v>
      </c>
      <c r="F29" s="14">
        <f>SUM(F30,F31,F32:F34,F35)</f>
        <v>-16269</v>
      </c>
      <c r="G29" s="16">
        <f t="shared" si="1"/>
        <v>-0.228275968513659</v>
      </c>
      <c r="H29" s="25"/>
      <c r="I29" s="14">
        <f>SUM(I30,I31,I32:I34,I35)</f>
        <v>71269</v>
      </c>
      <c r="N29" s="31">
        <f t="shared" si="5"/>
        <v>8998.5</v>
      </c>
    </row>
    <row r="30" ht="17.25" customHeight="1" spans="1:14">
      <c r="A30" s="18" t="s">
        <v>301</v>
      </c>
      <c r="B30" s="19">
        <f t="shared" ref="B30:D31" si="6">B13</f>
        <v>28200</v>
      </c>
      <c r="C30" s="19">
        <f t="shared" si="6"/>
        <v>13920</v>
      </c>
      <c r="D30" s="19">
        <f t="shared" si="6"/>
        <v>17110</v>
      </c>
      <c r="E30" s="20">
        <f t="shared" si="0"/>
        <v>-11090</v>
      </c>
      <c r="F30" s="20">
        <f>D30-I30</f>
        <v>-11459</v>
      </c>
      <c r="G30" s="21">
        <f t="shared" si="1"/>
        <v>-0.401099093422941</v>
      </c>
      <c r="H30" s="25"/>
      <c r="I30" s="19">
        <f>I13</f>
        <v>28569</v>
      </c>
      <c r="N30" s="31">
        <f t="shared" si="5"/>
        <v>3190</v>
      </c>
    </row>
    <row r="31" ht="17.25" customHeight="1" spans="1:14">
      <c r="A31" s="18" t="s">
        <v>302</v>
      </c>
      <c r="B31" s="19">
        <f t="shared" si="6"/>
        <v>17350</v>
      </c>
      <c r="C31" s="19">
        <f t="shared" si="6"/>
        <v>8440</v>
      </c>
      <c r="D31" s="19">
        <f t="shared" si="6"/>
        <v>10960</v>
      </c>
      <c r="E31" s="20">
        <f t="shared" si="0"/>
        <v>-6390</v>
      </c>
      <c r="F31" s="20">
        <f>D31-I31</f>
        <v>-5670</v>
      </c>
      <c r="G31" s="21">
        <f t="shared" si="1"/>
        <v>-0.340950090198437</v>
      </c>
      <c r="H31" s="25"/>
      <c r="I31" s="19">
        <f>I14+I15</f>
        <v>16630</v>
      </c>
      <c r="N31" s="31">
        <f t="shared" si="5"/>
        <v>2520</v>
      </c>
    </row>
    <row r="32" ht="17.25" customHeight="1" spans="1:14">
      <c r="A32" s="18" t="s">
        <v>303</v>
      </c>
      <c r="B32" s="19">
        <v>70</v>
      </c>
      <c r="C32" s="19">
        <v>84</v>
      </c>
      <c r="D32" s="19">
        <v>100</v>
      </c>
      <c r="E32" s="20">
        <f t="shared" si="0"/>
        <v>30</v>
      </c>
      <c r="F32" s="20">
        <f>D32-I32</f>
        <v>38</v>
      </c>
      <c r="G32" s="21">
        <f t="shared" si="1"/>
        <v>0.612903225806452</v>
      </c>
      <c r="H32" s="25"/>
      <c r="I32" s="19">
        <v>62</v>
      </c>
      <c r="K32" s="31">
        <f>D32-C32</f>
        <v>16</v>
      </c>
      <c r="N32" s="31">
        <f t="shared" si="5"/>
        <v>16</v>
      </c>
    </row>
    <row r="33" ht="17.25" customHeight="1" spans="1:11">
      <c r="A33" s="18" t="s">
        <v>304</v>
      </c>
      <c r="B33" s="19">
        <v>6205</v>
      </c>
      <c r="C33" s="19">
        <v>5400</v>
      </c>
      <c r="D33" s="19">
        <v>6520</v>
      </c>
      <c r="E33" s="20">
        <f t="shared" si="0"/>
        <v>315</v>
      </c>
      <c r="F33" s="20">
        <f>D33-I33</f>
        <v>549</v>
      </c>
      <c r="G33" s="21">
        <f t="shared" si="1"/>
        <v>0.0919443979232959</v>
      </c>
      <c r="H33" s="25"/>
      <c r="I33" s="19">
        <v>5971</v>
      </c>
      <c r="K33" s="31">
        <f>D33-C33</f>
        <v>1120</v>
      </c>
    </row>
    <row r="34" ht="17.25" customHeight="1" spans="1:9">
      <c r="A34" s="18" t="s">
        <v>305</v>
      </c>
      <c r="B34" s="19">
        <f t="shared" ref="B34:D35" si="7">B16*1.5</f>
        <v>17175</v>
      </c>
      <c r="C34" s="19">
        <f t="shared" si="7"/>
        <v>13678.5</v>
      </c>
      <c r="D34" s="19">
        <f t="shared" si="7"/>
        <v>14100</v>
      </c>
      <c r="E34" s="20">
        <f t="shared" si="0"/>
        <v>-3075</v>
      </c>
      <c r="F34" s="19">
        <f>F16*1.5</f>
        <v>-2709</v>
      </c>
      <c r="G34" s="21">
        <f t="shared" si="1"/>
        <v>-0.161163662323755</v>
      </c>
      <c r="H34" s="27"/>
      <c r="I34" s="19">
        <f>I16*1.5</f>
        <v>16809</v>
      </c>
    </row>
    <row r="35" ht="17.25" customHeight="1" spans="1:9">
      <c r="A35" s="18" t="s">
        <v>306</v>
      </c>
      <c r="B35" s="19">
        <f t="shared" si="7"/>
        <v>3000</v>
      </c>
      <c r="C35" s="19">
        <f t="shared" si="7"/>
        <v>4479</v>
      </c>
      <c r="D35" s="19">
        <f t="shared" si="7"/>
        <v>6210</v>
      </c>
      <c r="E35" s="20">
        <f>SUM(E36:E37)</f>
        <v>-16500</v>
      </c>
      <c r="F35" s="19">
        <f>F17*1.5</f>
        <v>2982</v>
      </c>
      <c r="G35" s="21">
        <f t="shared" si="1"/>
        <v>0.923791821561338</v>
      </c>
      <c r="H35" s="27"/>
      <c r="I35" s="19">
        <f>I17*1.5</f>
        <v>3228</v>
      </c>
    </row>
    <row r="36" ht="17.25" customHeight="1" spans="1:11">
      <c r="A36" s="13" t="s">
        <v>307</v>
      </c>
      <c r="B36" s="14">
        <f>SUM(B37:B42)</f>
        <v>141500</v>
      </c>
      <c r="C36" s="14">
        <f>SUM(C37:C42)</f>
        <v>34811</v>
      </c>
      <c r="D36" s="14">
        <f>SUM(D37:D42)</f>
        <v>125000</v>
      </c>
      <c r="E36" s="15">
        <f>SUM(E37:E42)</f>
        <v>-16500</v>
      </c>
      <c r="F36" s="14">
        <f>SUM(F37:F42)</f>
        <v>-27518</v>
      </c>
      <c r="G36" s="16">
        <f t="shared" si="1"/>
        <v>-0.18042460562032</v>
      </c>
      <c r="H36" s="27"/>
      <c r="I36" s="14">
        <f>SUM(I37:I42)</f>
        <v>152518</v>
      </c>
      <c r="K36" s="31">
        <f>D36-I36</f>
        <v>-27518</v>
      </c>
    </row>
    <row r="37" ht="17.25" customHeight="1" spans="1:9">
      <c r="A37" s="28" t="s">
        <v>317</v>
      </c>
      <c r="B37" s="29"/>
      <c r="C37" s="20"/>
      <c r="D37" s="20"/>
      <c r="E37" s="20">
        <f t="shared" si="0"/>
        <v>0</v>
      </c>
      <c r="F37" s="20">
        <f t="shared" ref="F37:F42" si="8">D37-I37</f>
        <v>0</v>
      </c>
      <c r="G37" s="21" t="e">
        <f t="shared" si="1"/>
        <v>#DIV/0!</v>
      </c>
      <c r="H37" s="27"/>
      <c r="I37" s="20"/>
    </row>
    <row r="38" ht="17.25" customHeight="1" spans="1:9">
      <c r="A38" s="28" t="s">
        <v>309</v>
      </c>
      <c r="B38" s="29">
        <v>138050</v>
      </c>
      <c r="C38" s="20">
        <v>31932</v>
      </c>
      <c r="D38" s="20">
        <v>121558</v>
      </c>
      <c r="E38" s="20">
        <f t="shared" si="0"/>
        <v>-16492</v>
      </c>
      <c r="F38" s="20">
        <f t="shared" si="8"/>
        <v>-28576</v>
      </c>
      <c r="G38" s="21">
        <f t="shared" si="1"/>
        <v>-0.190336632608203</v>
      </c>
      <c r="H38" s="27"/>
      <c r="I38" s="36">
        <v>150134</v>
      </c>
    </row>
    <row r="39" ht="17.25" customHeight="1" spans="1:9">
      <c r="A39" s="28" t="s">
        <v>310</v>
      </c>
      <c r="B39" s="29">
        <v>2200</v>
      </c>
      <c r="C39" s="20">
        <v>1729</v>
      </c>
      <c r="D39" s="20">
        <v>2200</v>
      </c>
      <c r="E39" s="20">
        <f t="shared" si="0"/>
        <v>0</v>
      </c>
      <c r="F39" s="20">
        <f t="shared" si="8"/>
        <v>1051</v>
      </c>
      <c r="G39" s="21">
        <f t="shared" si="1"/>
        <v>0.914708442123586</v>
      </c>
      <c r="H39" s="27"/>
      <c r="I39" s="36">
        <v>1149</v>
      </c>
    </row>
    <row r="40" ht="17.25" customHeight="1" spans="1:9">
      <c r="A40" s="28" t="s">
        <v>311</v>
      </c>
      <c r="B40" s="29">
        <v>700</v>
      </c>
      <c r="C40" s="20">
        <v>817</v>
      </c>
      <c r="D40" s="20">
        <v>817</v>
      </c>
      <c r="E40" s="20">
        <f t="shared" si="0"/>
        <v>117</v>
      </c>
      <c r="F40" s="20">
        <f t="shared" si="8"/>
        <v>119</v>
      </c>
      <c r="G40" s="21">
        <f t="shared" si="1"/>
        <v>0.170487106017192</v>
      </c>
      <c r="H40" s="27"/>
      <c r="I40" s="40">
        <v>698</v>
      </c>
    </row>
    <row r="41" ht="17.25" customHeight="1" spans="1:9">
      <c r="A41" s="28" t="s">
        <v>312</v>
      </c>
      <c r="B41" s="29">
        <v>250</v>
      </c>
      <c r="C41" s="20">
        <v>98</v>
      </c>
      <c r="D41" s="20">
        <v>125</v>
      </c>
      <c r="E41" s="20">
        <f t="shared" si="0"/>
        <v>-125</v>
      </c>
      <c r="F41" s="20">
        <f t="shared" si="8"/>
        <v>-115</v>
      </c>
      <c r="G41" s="21">
        <f t="shared" si="1"/>
        <v>-0.479166666666667</v>
      </c>
      <c r="H41" s="27"/>
      <c r="I41" s="20">
        <v>240</v>
      </c>
    </row>
    <row r="42" ht="17.25" customHeight="1" spans="1:9">
      <c r="A42" s="28" t="s">
        <v>313</v>
      </c>
      <c r="B42" s="29">
        <v>300</v>
      </c>
      <c r="C42" s="20">
        <v>235</v>
      </c>
      <c r="D42" s="20">
        <v>300</v>
      </c>
      <c r="E42" s="20">
        <f t="shared" si="0"/>
        <v>0</v>
      </c>
      <c r="F42" s="20">
        <f t="shared" si="8"/>
        <v>3</v>
      </c>
      <c r="G42" s="21">
        <f t="shared" si="1"/>
        <v>0.0101010101010102</v>
      </c>
      <c r="H42" s="27"/>
      <c r="I42" s="20">
        <v>297</v>
      </c>
    </row>
    <row r="43" spans="4:9">
      <c r="D43" s="30"/>
      <c r="E43" s="30"/>
      <c r="F43" s="30"/>
      <c r="I43" s="30"/>
    </row>
    <row r="44" spans="4:9">
      <c r="D44" s="3">
        <f>(D22+1500)/D9</f>
        <v>0.0562962962962963</v>
      </c>
      <c r="I44" s="3">
        <f>I22/I9</f>
        <v>0.0404035938864146</v>
      </c>
    </row>
  </sheetData>
  <mergeCells count="5">
    <mergeCell ref="A1:G1"/>
    <mergeCell ref="D3:G3"/>
    <mergeCell ref="A3:A4"/>
    <mergeCell ref="B3:B4"/>
    <mergeCell ref="C3:C4"/>
  </mergeCells>
  <pageMargins left="0.747916666666667" right="0" top="0.590277777777778" bottom="0.393055555555556" header="0.511805555555556" footer="0.511805555555556"/>
  <pageSetup paperSize="9" scale="9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Q44"/>
  <sheetViews>
    <sheetView workbookViewId="0">
      <selection activeCell="D33" sqref="D33"/>
    </sheetView>
  </sheetViews>
  <sheetFormatPr defaultColWidth="9" defaultRowHeight="12.75"/>
  <cols>
    <col min="1" max="1" width="27.875" style="1" customWidth="1"/>
    <col min="2" max="2" width="8.875" style="2" customWidth="1"/>
    <col min="3" max="3" width="9.25" style="1" customWidth="1"/>
    <col min="4" max="4" width="9.25" style="3" customWidth="1"/>
    <col min="5" max="6" width="8.875" style="3" customWidth="1"/>
    <col min="7" max="7" width="8.875" style="1" customWidth="1"/>
    <col min="8" max="8" width="2.375" style="1" customWidth="1"/>
    <col min="9" max="9" width="9.5" style="3" customWidth="1"/>
    <col min="10" max="16384" width="9" style="1"/>
  </cols>
  <sheetData>
    <row r="1" ht="21.75" customHeight="1" spans="1:8">
      <c r="A1" s="4" t="s">
        <v>316</v>
      </c>
      <c r="B1" s="4"/>
      <c r="C1" s="4"/>
      <c r="D1" s="4"/>
      <c r="E1" s="4"/>
      <c r="F1" s="4"/>
      <c r="G1" s="4"/>
      <c r="H1" s="4"/>
    </row>
    <row r="2" ht="15.75" customHeight="1" spans="1:7">
      <c r="A2" s="2" t="s">
        <v>1</v>
      </c>
      <c r="G2" s="2" t="s">
        <v>115</v>
      </c>
    </row>
    <row r="3" ht="14.25" customHeight="1" spans="1:8">
      <c r="A3" s="5" t="s">
        <v>268</v>
      </c>
      <c r="B3" s="6" t="s">
        <v>269</v>
      </c>
      <c r="C3" s="6" t="s">
        <v>314</v>
      </c>
      <c r="D3" s="7" t="s">
        <v>272</v>
      </c>
      <c r="E3" s="7"/>
      <c r="F3" s="7"/>
      <c r="G3" s="7"/>
      <c r="H3" s="8"/>
    </row>
    <row r="4" ht="14.25" customHeight="1" spans="1:13">
      <c r="A4" s="9"/>
      <c r="B4" s="10"/>
      <c r="C4" s="10"/>
      <c r="D4" s="11" t="s">
        <v>17</v>
      </c>
      <c r="E4" s="11" t="s">
        <v>275</v>
      </c>
      <c r="F4" s="11" t="s">
        <v>315</v>
      </c>
      <c r="G4" s="11" t="s">
        <v>276</v>
      </c>
      <c r="H4" s="12"/>
      <c r="M4" s="1">
        <f>K9/K6</f>
        <v>0.533173261300919</v>
      </c>
    </row>
    <row r="5" ht="17.25" customHeight="1" spans="1:11">
      <c r="A5" s="13" t="s">
        <v>277</v>
      </c>
      <c r="B5" s="14">
        <f>SUM(B6:B7)</f>
        <v>198400</v>
      </c>
      <c r="C5" s="14">
        <f>SUM(C6:C7)</f>
        <v>130047.5</v>
      </c>
      <c r="D5" s="14">
        <f>SUM(D6:D7)</f>
        <v>168000</v>
      </c>
      <c r="E5" s="15">
        <f t="shared" ref="E5:E42" si="0">D5-B5</f>
        <v>-30400</v>
      </c>
      <c r="F5" s="14">
        <f>SUM(F6:F7)</f>
        <v>-25969</v>
      </c>
      <c r="G5" s="16">
        <f t="shared" ref="G5:G42" si="1">D5/I5-1</f>
        <v>-0.133882218292614</v>
      </c>
      <c r="H5" s="17"/>
      <c r="I5" s="14">
        <f>SUM(I6:I7)</f>
        <v>193969</v>
      </c>
      <c r="K5" s="31">
        <f>D5-C5</f>
        <v>37952.5</v>
      </c>
    </row>
    <row r="6" ht="17.25" customHeight="1" spans="1:14">
      <c r="A6" s="18" t="s">
        <v>278</v>
      </c>
      <c r="B6" s="19">
        <f>SUM(B9,B29)</f>
        <v>166500</v>
      </c>
      <c r="C6" s="19">
        <f>SUM(C9,C29)</f>
        <v>101413.5</v>
      </c>
      <c r="D6" s="19">
        <f>SUM(D9,D29)</f>
        <v>131400</v>
      </c>
      <c r="E6" s="20">
        <f t="shared" si="0"/>
        <v>-35100</v>
      </c>
      <c r="F6" s="19">
        <f>SUM(F9,F29)</f>
        <v>-30356</v>
      </c>
      <c r="G6" s="21">
        <f t="shared" si="1"/>
        <v>-0.187665372536413</v>
      </c>
      <c r="H6" s="22"/>
      <c r="I6" s="19">
        <f>SUM(I9,I29)</f>
        <v>161756</v>
      </c>
      <c r="K6" s="31">
        <f>D6-C6</f>
        <v>29986.5</v>
      </c>
      <c r="N6" s="31">
        <f t="shared" ref="N6:N13" si="2">D6-C6</f>
        <v>29986.5</v>
      </c>
    </row>
    <row r="7" ht="17.25" customHeight="1" spans="1:14">
      <c r="A7" s="18" t="s">
        <v>279</v>
      </c>
      <c r="B7" s="19">
        <f>SUM(B21:B23,B25:B28)-B24</f>
        <v>31900</v>
      </c>
      <c r="C7" s="19">
        <f>SUM(C21:C23,C25:C28)-C24</f>
        <v>28634</v>
      </c>
      <c r="D7" s="19">
        <f>SUM(D21:D23,D25:D28)-D24</f>
        <v>36600</v>
      </c>
      <c r="E7" s="20">
        <f t="shared" si="0"/>
        <v>4700</v>
      </c>
      <c r="F7" s="19">
        <f>SUM(F21:F23,F25:F28)-F24</f>
        <v>4387</v>
      </c>
      <c r="G7" s="21">
        <f t="shared" si="1"/>
        <v>0.13618725359327</v>
      </c>
      <c r="H7" s="23"/>
      <c r="I7" s="19">
        <f>SUM(I21:I23,I25:I28)-I24</f>
        <v>32213</v>
      </c>
      <c r="K7" s="31">
        <f t="shared" ref="K7:K28" si="3">D7-C7</f>
        <v>7966</v>
      </c>
      <c r="N7" s="31">
        <f t="shared" si="2"/>
        <v>7966</v>
      </c>
    </row>
    <row r="8" ht="17.25" customHeight="1" spans="1:17">
      <c r="A8" s="13" t="s">
        <v>280</v>
      </c>
      <c r="B8" s="14">
        <f>SUM(B9:B10)</f>
        <v>126400</v>
      </c>
      <c r="C8" s="14">
        <f>SUM(C9:C10)</f>
        <v>84046</v>
      </c>
      <c r="D8" s="14">
        <f>SUM(D9:D10)</f>
        <v>108000</v>
      </c>
      <c r="E8" s="15">
        <f t="shared" si="0"/>
        <v>-18400</v>
      </c>
      <c r="F8" s="14">
        <f>SUM(F9:F10)</f>
        <v>-14700</v>
      </c>
      <c r="G8" s="16">
        <f t="shared" si="1"/>
        <v>-0.119804400977995</v>
      </c>
      <c r="H8" s="24"/>
      <c r="I8" s="14">
        <f>SUM(I9:I10)</f>
        <v>122700</v>
      </c>
      <c r="K8" s="31">
        <f t="shared" si="3"/>
        <v>23954</v>
      </c>
      <c r="N8" s="31">
        <f t="shared" si="2"/>
        <v>23954</v>
      </c>
      <c r="Q8" s="31">
        <f>SUM(C10:C11)</f>
        <v>82666</v>
      </c>
    </row>
    <row r="9" ht="17.25" customHeight="1" spans="1:17">
      <c r="A9" s="18" t="s">
        <v>278</v>
      </c>
      <c r="B9" s="19">
        <f>SUM(B13,B14,B15,B16,B17,B18,B19,B24)</f>
        <v>94500</v>
      </c>
      <c r="C9" s="19">
        <f>SUM(C13,C14,C15,C16,C17,C18,C19,C24)</f>
        <v>55412</v>
      </c>
      <c r="D9" s="19">
        <f>SUM(D13,D14,D15,D16,D17,D18,D19,D24)</f>
        <v>71400</v>
      </c>
      <c r="E9" s="20">
        <f t="shared" si="0"/>
        <v>-23100</v>
      </c>
      <c r="F9" s="20">
        <f>D9-I9</f>
        <v>-19087</v>
      </c>
      <c r="G9" s="21">
        <f t="shared" si="1"/>
        <v>-0.210936377601202</v>
      </c>
      <c r="H9" s="17"/>
      <c r="I9" s="19">
        <f>SUM(I13,I14,I15,I16,I17,I18,I19,I24)</f>
        <v>90487</v>
      </c>
      <c r="K9" s="31">
        <f t="shared" si="3"/>
        <v>15988</v>
      </c>
      <c r="N9" s="31">
        <f t="shared" si="2"/>
        <v>15988</v>
      </c>
      <c r="Q9" s="31">
        <f>SUM(C6:C7)</f>
        <v>130047.5</v>
      </c>
    </row>
    <row r="10" ht="17.25" customHeight="1" spans="1:14">
      <c r="A10" s="18" t="s">
        <v>279</v>
      </c>
      <c r="B10" s="19">
        <f>B7</f>
        <v>31900</v>
      </c>
      <c r="C10" s="19">
        <f>C7</f>
        <v>28634</v>
      </c>
      <c r="D10" s="19">
        <f>D7</f>
        <v>36600</v>
      </c>
      <c r="E10" s="20">
        <f t="shared" si="0"/>
        <v>4700</v>
      </c>
      <c r="F10" s="19">
        <f>F7</f>
        <v>4387</v>
      </c>
      <c r="G10" s="21">
        <f t="shared" si="1"/>
        <v>0.13618725359327</v>
      </c>
      <c r="H10" s="22"/>
      <c r="I10" s="19">
        <f>I7</f>
        <v>32213</v>
      </c>
      <c r="K10" s="31">
        <f t="shared" si="3"/>
        <v>7966</v>
      </c>
      <c r="N10" s="31">
        <f t="shared" si="2"/>
        <v>7966</v>
      </c>
    </row>
    <row r="11" ht="17.25" customHeight="1" spans="1:17">
      <c r="A11" s="13" t="s">
        <v>281</v>
      </c>
      <c r="B11" s="14">
        <f>SUM(B12,B15:B16,B17:B19)</f>
        <v>91900</v>
      </c>
      <c r="C11" s="14">
        <f>SUM(C12,C15:C16,C17:C19)</f>
        <v>54032</v>
      </c>
      <c r="D11" s="14">
        <f>SUM(D12,D15:D16,D17:D19)</f>
        <v>69700</v>
      </c>
      <c r="E11" s="15">
        <f t="shared" si="0"/>
        <v>-22200</v>
      </c>
      <c r="F11" s="14">
        <f>SUM(F12,F15:F16,F17:F19)</f>
        <v>-18091</v>
      </c>
      <c r="G11" s="16">
        <f t="shared" si="1"/>
        <v>-0.206068959232723</v>
      </c>
      <c r="H11" s="22"/>
      <c r="I11" s="14">
        <f>SUM(I12,I15:I16,I17:I19)</f>
        <v>87791</v>
      </c>
      <c r="K11" s="31">
        <f t="shared" si="3"/>
        <v>15668</v>
      </c>
      <c r="N11" s="31">
        <f t="shared" si="2"/>
        <v>15668</v>
      </c>
      <c r="Q11" s="1">
        <f>Q8/Q9</f>
        <v>0.635660047290413</v>
      </c>
    </row>
    <row r="12" ht="17.25" customHeight="1" spans="1:17">
      <c r="A12" s="18" t="s">
        <v>282</v>
      </c>
      <c r="B12" s="19">
        <f>SUM(B13:B14)</f>
        <v>45550</v>
      </c>
      <c r="C12" s="19">
        <f>SUM(C13:C14)</f>
        <v>22360</v>
      </c>
      <c r="D12" s="19">
        <f>SUM(D13:D14)</f>
        <v>29570</v>
      </c>
      <c r="E12" s="20">
        <f t="shared" si="0"/>
        <v>-15980</v>
      </c>
      <c r="F12" s="19">
        <f>SUM(F13:F14)</f>
        <v>-15629</v>
      </c>
      <c r="G12" s="21">
        <f t="shared" si="1"/>
        <v>-0.345781986327131</v>
      </c>
      <c r="H12" s="22"/>
      <c r="I12" s="19">
        <f>SUM(I13:I14)</f>
        <v>45199</v>
      </c>
      <c r="K12" s="31">
        <f t="shared" si="3"/>
        <v>7210</v>
      </c>
      <c r="N12" s="31">
        <f t="shared" si="2"/>
        <v>7210</v>
      </c>
      <c r="Q12" s="1">
        <v>7500</v>
      </c>
    </row>
    <row r="13" ht="17.25" customHeight="1" spans="1:17">
      <c r="A13" s="18" t="s">
        <v>283</v>
      </c>
      <c r="B13" s="19">
        <v>28200</v>
      </c>
      <c r="C13" s="20">
        <v>13920</v>
      </c>
      <c r="D13" s="20">
        <v>18310</v>
      </c>
      <c r="E13" s="20">
        <f t="shared" si="0"/>
        <v>-9890</v>
      </c>
      <c r="F13" s="20">
        <f t="shared" ref="F13:F28" si="4">D13-I13</f>
        <v>-10259</v>
      </c>
      <c r="G13" s="21">
        <f t="shared" si="1"/>
        <v>-0.359095523119465</v>
      </c>
      <c r="H13" s="25"/>
      <c r="I13" s="32">
        <v>28569</v>
      </c>
      <c r="J13" s="33"/>
      <c r="K13" s="31">
        <f t="shared" si="3"/>
        <v>4390</v>
      </c>
      <c r="L13" s="34"/>
      <c r="N13" s="31">
        <f t="shared" si="2"/>
        <v>4390</v>
      </c>
      <c r="Q13" s="1">
        <f>Q11*Q12</f>
        <v>4767.4503546781</v>
      </c>
    </row>
    <row r="14" ht="17.25" customHeight="1" spans="1:12">
      <c r="A14" s="18" t="s">
        <v>284</v>
      </c>
      <c r="B14" s="19">
        <v>17350</v>
      </c>
      <c r="C14" s="20">
        <v>8440</v>
      </c>
      <c r="D14" s="20">
        <v>11260</v>
      </c>
      <c r="E14" s="20">
        <f t="shared" si="0"/>
        <v>-6090</v>
      </c>
      <c r="F14" s="20">
        <f t="shared" si="4"/>
        <v>-5370</v>
      </c>
      <c r="G14" s="21">
        <f t="shared" si="1"/>
        <v>-0.32291040288635</v>
      </c>
      <c r="H14" s="25"/>
      <c r="I14" s="32">
        <v>16630</v>
      </c>
      <c r="J14" s="34"/>
      <c r="K14" s="31">
        <f t="shared" si="3"/>
        <v>2820</v>
      </c>
      <c r="L14" s="35"/>
    </row>
    <row r="15" ht="17.25" customHeight="1" spans="1:14">
      <c r="A15" s="18" t="s">
        <v>285</v>
      </c>
      <c r="B15" s="19">
        <v>0</v>
      </c>
      <c r="C15" s="20"/>
      <c r="D15" s="20"/>
      <c r="E15" s="20">
        <f t="shared" si="0"/>
        <v>0</v>
      </c>
      <c r="F15" s="20">
        <f t="shared" si="4"/>
        <v>0</v>
      </c>
      <c r="G15" s="21" t="e">
        <f t="shared" si="1"/>
        <v>#DIV/0!</v>
      </c>
      <c r="H15" s="25"/>
      <c r="I15" s="36"/>
      <c r="J15" s="34"/>
      <c r="K15" s="31">
        <f t="shared" si="3"/>
        <v>0</v>
      </c>
      <c r="L15" s="34"/>
      <c r="N15" s="31">
        <f>D15-C15</f>
        <v>0</v>
      </c>
    </row>
    <row r="16" ht="17.25" customHeight="1" spans="1:12">
      <c r="A16" s="18" t="s">
        <v>286</v>
      </c>
      <c r="B16" s="19">
        <v>11450</v>
      </c>
      <c r="C16" s="20">
        <v>9119</v>
      </c>
      <c r="D16" s="20">
        <v>9400</v>
      </c>
      <c r="E16" s="20">
        <f t="shared" si="0"/>
        <v>-2050</v>
      </c>
      <c r="F16" s="20">
        <f t="shared" si="4"/>
        <v>-1806</v>
      </c>
      <c r="G16" s="21">
        <f t="shared" si="1"/>
        <v>-0.161163662323755</v>
      </c>
      <c r="H16" s="25"/>
      <c r="I16" s="36">
        <v>11206</v>
      </c>
      <c r="J16" s="34"/>
      <c r="K16" s="31">
        <f t="shared" si="3"/>
        <v>281</v>
      </c>
      <c r="L16" s="34"/>
    </row>
    <row r="17" ht="17.25" customHeight="1" spans="1:14">
      <c r="A17" s="18" t="s">
        <v>287</v>
      </c>
      <c r="B17" s="19">
        <v>2000</v>
      </c>
      <c r="C17" s="20">
        <v>2986</v>
      </c>
      <c r="D17" s="20">
        <v>6540</v>
      </c>
      <c r="E17" s="20">
        <f t="shared" si="0"/>
        <v>4540</v>
      </c>
      <c r="F17" s="20">
        <f t="shared" si="4"/>
        <v>4388</v>
      </c>
      <c r="G17" s="21">
        <f t="shared" si="1"/>
        <v>2.03903345724907</v>
      </c>
      <c r="H17" s="25"/>
      <c r="I17" s="37">
        <v>2152</v>
      </c>
      <c r="J17" s="34"/>
      <c r="K17" s="31">
        <f t="shared" si="3"/>
        <v>3554</v>
      </c>
      <c r="L17" s="34"/>
      <c r="N17" s="31">
        <f>D17-C17</f>
        <v>3554</v>
      </c>
    </row>
    <row r="18" ht="17.25" customHeight="1" spans="1:14">
      <c r="A18" s="18" t="s">
        <v>288</v>
      </c>
      <c r="B18" s="19">
        <v>24600</v>
      </c>
      <c r="C18" s="20">
        <v>15424</v>
      </c>
      <c r="D18" s="20">
        <v>19050</v>
      </c>
      <c r="E18" s="20">
        <f t="shared" si="0"/>
        <v>-5550</v>
      </c>
      <c r="F18" s="20">
        <f t="shared" si="4"/>
        <v>-2298</v>
      </c>
      <c r="G18" s="21">
        <f t="shared" si="1"/>
        <v>-0.107644744238336</v>
      </c>
      <c r="H18" s="25"/>
      <c r="I18" s="37">
        <v>21348</v>
      </c>
      <c r="J18" s="34"/>
      <c r="K18" s="31">
        <f t="shared" si="3"/>
        <v>3626</v>
      </c>
      <c r="L18" s="34"/>
      <c r="N18" s="31">
        <f>D18-C18</f>
        <v>3626</v>
      </c>
    </row>
    <row r="19" ht="17.25" customHeight="1" spans="1:14">
      <c r="A19" s="18" t="s">
        <v>289</v>
      </c>
      <c r="B19" s="19">
        <v>8300</v>
      </c>
      <c r="C19" s="20">
        <v>4143</v>
      </c>
      <c r="D19" s="20">
        <v>5140</v>
      </c>
      <c r="E19" s="20">
        <f t="shared" si="0"/>
        <v>-3160</v>
      </c>
      <c r="F19" s="20">
        <f t="shared" si="4"/>
        <v>-2746</v>
      </c>
      <c r="G19" s="21">
        <f t="shared" si="1"/>
        <v>-0.348212021303576</v>
      </c>
      <c r="H19" s="25"/>
      <c r="I19" s="37">
        <v>7886</v>
      </c>
      <c r="J19" s="38"/>
      <c r="K19" s="31">
        <f t="shared" si="3"/>
        <v>997</v>
      </c>
      <c r="L19" s="38"/>
      <c r="N19" s="31">
        <f>D19-C19</f>
        <v>997</v>
      </c>
    </row>
    <row r="20" ht="17.25" customHeight="1" spans="1:14">
      <c r="A20" s="13" t="s">
        <v>290</v>
      </c>
      <c r="B20" s="14">
        <f>SUM(B21:B23,B25:B26,B27:B28)</f>
        <v>34500</v>
      </c>
      <c r="C20" s="14">
        <f>SUM(C21:C23,C25:C26,C27:C28)</f>
        <v>30014</v>
      </c>
      <c r="D20" s="14">
        <f>SUM(D21:D23,D25:D26,D27:D28)</f>
        <v>38300</v>
      </c>
      <c r="E20" s="15">
        <f t="shared" si="0"/>
        <v>3800</v>
      </c>
      <c r="F20" s="14">
        <f>SUM(F21:F23,F25:F26,F27:F28)</f>
        <v>3391</v>
      </c>
      <c r="G20" s="16">
        <f t="shared" si="1"/>
        <v>0.0971382737975881</v>
      </c>
      <c r="H20" s="25"/>
      <c r="I20" s="14">
        <f>SUM(I21:I23,I25:I26,I27:I28)</f>
        <v>34909</v>
      </c>
      <c r="K20" s="31">
        <f t="shared" si="3"/>
        <v>8286</v>
      </c>
      <c r="N20" s="31">
        <f>D20-C20</f>
        <v>8286</v>
      </c>
    </row>
    <row r="21" ht="17.25" customHeight="1" spans="1:14">
      <c r="A21" s="18" t="s">
        <v>291</v>
      </c>
      <c r="B21" s="19">
        <v>1200</v>
      </c>
      <c r="C21" s="20">
        <v>869</v>
      </c>
      <c r="D21" s="20">
        <v>2700</v>
      </c>
      <c r="E21" s="20">
        <f t="shared" si="0"/>
        <v>1500</v>
      </c>
      <c r="F21" s="20">
        <f t="shared" si="4"/>
        <v>1566</v>
      </c>
      <c r="G21" s="21">
        <f t="shared" si="1"/>
        <v>1.38095238095238</v>
      </c>
      <c r="H21" s="25"/>
      <c r="I21" s="37">
        <v>1134</v>
      </c>
      <c r="K21" s="31">
        <f t="shared" si="3"/>
        <v>1831</v>
      </c>
      <c r="N21" s="31">
        <f>D21-C21</f>
        <v>1831</v>
      </c>
    </row>
    <row r="22" ht="17.25" customHeight="1" spans="1:14">
      <c r="A22" s="18" t="s">
        <v>292</v>
      </c>
      <c r="B22" s="19">
        <v>3000</v>
      </c>
      <c r="C22" s="20">
        <v>1972</v>
      </c>
      <c r="D22" s="20">
        <v>2200</v>
      </c>
      <c r="E22" s="20">
        <f t="shared" si="0"/>
        <v>-800</v>
      </c>
      <c r="F22" s="20">
        <f t="shared" si="4"/>
        <v>-1456</v>
      </c>
      <c r="G22" s="21">
        <f t="shared" si="1"/>
        <v>-0.398249452954048</v>
      </c>
      <c r="H22" s="25"/>
      <c r="I22" s="39">
        <v>3656</v>
      </c>
      <c r="K22" s="31">
        <f t="shared" si="3"/>
        <v>228</v>
      </c>
      <c r="N22" s="31">
        <f t="shared" ref="N22:N32" si="5">D22-C22</f>
        <v>228</v>
      </c>
    </row>
    <row r="23" ht="17.25" customHeight="1" spans="1:14">
      <c r="A23" s="26" t="s">
        <v>293</v>
      </c>
      <c r="B23" s="19">
        <v>8500</v>
      </c>
      <c r="C23" s="20">
        <v>3802</v>
      </c>
      <c r="D23" s="20">
        <v>8500</v>
      </c>
      <c r="E23" s="20">
        <f t="shared" si="0"/>
        <v>0</v>
      </c>
      <c r="F23" s="20">
        <f t="shared" si="4"/>
        <v>117</v>
      </c>
      <c r="G23" s="21">
        <f t="shared" si="1"/>
        <v>0.0139568173684839</v>
      </c>
      <c r="H23" s="25"/>
      <c r="I23" s="36">
        <v>8383</v>
      </c>
      <c r="K23" s="31">
        <f t="shared" si="3"/>
        <v>4698</v>
      </c>
      <c r="N23" s="31">
        <f t="shared" si="5"/>
        <v>4698</v>
      </c>
    </row>
    <row r="24" ht="17.25" customHeight="1" spans="1:14">
      <c r="A24" s="26" t="s">
        <v>294</v>
      </c>
      <c r="B24" s="19">
        <v>2600</v>
      </c>
      <c r="C24" s="20">
        <v>1380</v>
      </c>
      <c r="D24" s="20">
        <v>1700</v>
      </c>
      <c r="E24" s="20">
        <f t="shared" si="0"/>
        <v>-900</v>
      </c>
      <c r="F24" s="20">
        <f t="shared" si="4"/>
        <v>-996</v>
      </c>
      <c r="G24" s="21">
        <f t="shared" si="1"/>
        <v>-0.369436201780415</v>
      </c>
      <c r="H24" s="25"/>
      <c r="I24" s="36">
        <v>2696</v>
      </c>
      <c r="K24" s="31">
        <f t="shared" si="3"/>
        <v>320</v>
      </c>
      <c r="N24" s="31">
        <f t="shared" si="5"/>
        <v>320</v>
      </c>
    </row>
    <row r="25" ht="17.25" customHeight="1" spans="1:14">
      <c r="A25" s="26" t="s">
        <v>295</v>
      </c>
      <c r="B25" s="19">
        <v>5400</v>
      </c>
      <c r="C25" s="20"/>
      <c r="D25" s="20"/>
      <c r="E25" s="20">
        <f t="shared" si="0"/>
        <v>-5400</v>
      </c>
      <c r="F25" s="20">
        <f t="shared" si="4"/>
        <v>-5400</v>
      </c>
      <c r="G25" s="21">
        <f t="shared" si="1"/>
        <v>-1</v>
      </c>
      <c r="H25" s="25"/>
      <c r="I25" s="36">
        <v>5400</v>
      </c>
      <c r="K25" s="31">
        <f t="shared" si="3"/>
        <v>0</v>
      </c>
      <c r="N25" s="31">
        <f t="shared" si="5"/>
        <v>0</v>
      </c>
    </row>
    <row r="26" ht="17.25" customHeight="1" spans="1:14">
      <c r="A26" s="26" t="s">
        <v>296</v>
      </c>
      <c r="B26" s="19">
        <v>1400</v>
      </c>
      <c r="C26" s="20">
        <v>987</v>
      </c>
      <c r="D26" s="20">
        <v>2400</v>
      </c>
      <c r="E26" s="20">
        <f t="shared" si="0"/>
        <v>1000</v>
      </c>
      <c r="F26" s="20">
        <f t="shared" si="4"/>
        <v>941</v>
      </c>
      <c r="G26" s="21">
        <f t="shared" si="1"/>
        <v>0.644962302947224</v>
      </c>
      <c r="H26" s="25"/>
      <c r="I26" s="36">
        <v>1459</v>
      </c>
      <c r="K26" s="31">
        <f t="shared" si="3"/>
        <v>1413</v>
      </c>
      <c r="N26" s="31">
        <f t="shared" si="5"/>
        <v>1413</v>
      </c>
    </row>
    <row r="27" ht="17.25" customHeight="1" spans="1:14">
      <c r="A27" s="26" t="s">
        <v>297</v>
      </c>
      <c r="B27" s="19">
        <v>55</v>
      </c>
      <c r="C27" s="20"/>
      <c r="D27" s="20">
        <v>55</v>
      </c>
      <c r="E27" s="20">
        <f t="shared" si="0"/>
        <v>0</v>
      </c>
      <c r="F27" s="20">
        <f t="shared" si="4"/>
        <v>5</v>
      </c>
      <c r="G27" s="21">
        <f t="shared" si="1"/>
        <v>0.1</v>
      </c>
      <c r="H27" s="25"/>
      <c r="I27" s="36">
        <v>50</v>
      </c>
      <c r="K27" s="31">
        <f t="shared" si="3"/>
        <v>55</v>
      </c>
      <c r="N27" s="31">
        <f t="shared" si="5"/>
        <v>55</v>
      </c>
    </row>
    <row r="28" ht="17.25" customHeight="1" spans="1:14">
      <c r="A28" s="26" t="s">
        <v>299</v>
      </c>
      <c r="B28" s="19">
        <v>14945</v>
      </c>
      <c r="C28" s="20">
        <v>22384</v>
      </c>
      <c r="D28" s="20">
        <v>22445</v>
      </c>
      <c r="E28" s="20">
        <f t="shared" si="0"/>
        <v>7500</v>
      </c>
      <c r="F28" s="20">
        <f t="shared" si="4"/>
        <v>7618</v>
      </c>
      <c r="G28" s="21">
        <f t="shared" si="1"/>
        <v>0.513792405746274</v>
      </c>
      <c r="H28" s="25"/>
      <c r="I28" s="36">
        <v>14827</v>
      </c>
      <c r="K28" s="31">
        <f t="shared" si="3"/>
        <v>61</v>
      </c>
      <c r="N28" s="31">
        <f t="shared" si="5"/>
        <v>61</v>
      </c>
    </row>
    <row r="29" ht="17.25" customHeight="1" spans="1:14">
      <c r="A29" s="13" t="s">
        <v>300</v>
      </c>
      <c r="B29" s="14">
        <f>SUM(B30,B31,B32:B34,B35)</f>
        <v>72000</v>
      </c>
      <c r="C29" s="14">
        <f>SUM(C30,C31,C32:C34,C35)</f>
        <v>46001.5</v>
      </c>
      <c r="D29" s="14">
        <f>SUM(D30,D31,D32:D34,D35)</f>
        <v>60000</v>
      </c>
      <c r="E29" s="15">
        <f t="shared" si="0"/>
        <v>-12000</v>
      </c>
      <c r="F29" s="14">
        <f>SUM(F30,F31,F32:F34,F35)</f>
        <v>-11269</v>
      </c>
      <c r="G29" s="16">
        <f t="shared" si="1"/>
        <v>-0.158119238378538</v>
      </c>
      <c r="H29" s="25"/>
      <c r="I29" s="14">
        <f>SUM(I30,I31,I32:I34,I35)</f>
        <v>71269</v>
      </c>
      <c r="N29" s="31">
        <f t="shared" si="5"/>
        <v>13998.5</v>
      </c>
    </row>
    <row r="30" ht="17.25" customHeight="1" spans="1:14">
      <c r="A30" s="18" t="s">
        <v>301</v>
      </c>
      <c r="B30" s="19">
        <f t="shared" ref="B30:D31" si="6">B13</f>
        <v>28200</v>
      </c>
      <c r="C30" s="19">
        <f t="shared" si="6"/>
        <v>13920</v>
      </c>
      <c r="D30" s="19">
        <f t="shared" si="6"/>
        <v>18310</v>
      </c>
      <c r="E30" s="20">
        <f t="shared" si="0"/>
        <v>-9890</v>
      </c>
      <c r="F30" s="20">
        <f>D30-I30</f>
        <v>-10259</v>
      </c>
      <c r="G30" s="21">
        <f t="shared" si="1"/>
        <v>-0.359095523119465</v>
      </c>
      <c r="H30" s="25"/>
      <c r="I30" s="19">
        <f>I13</f>
        <v>28569</v>
      </c>
      <c r="N30" s="31">
        <f t="shared" si="5"/>
        <v>4390</v>
      </c>
    </row>
    <row r="31" ht="17.25" customHeight="1" spans="1:14">
      <c r="A31" s="18" t="s">
        <v>302</v>
      </c>
      <c r="B31" s="19">
        <f t="shared" si="6"/>
        <v>17350</v>
      </c>
      <c r="C31" s="19">
        <f t="shared" si="6"/>
        <v>8440</v>
      </c>
      <c r="D31" s="19">
        <f t="shared" si="6"/>
        <v>11260</v>
      </c>
      <c r="E31" s="20">
        <f t="shared" si="0"/>
        <v>-6090</v>
      </c>
      <c r="F31" s="20">
        <f>D31-I31</f>
        <v>-5370</v>
      </c>
      <c r="G31" s="21">
        <f t="shared" si="1"/>
        <v>-0.32291040288635</v>
      </c>
      <c r="H31" s="25"/>
      <c r="I31" s="19">
        <f>I14+I15</f>
        <v>16630</v>
      </c>
      <c r="N31" s="31">
        <f t="shared" si="5"/>
        <v>2820</v>
      </c>
    </row>
    <row r="32" ht="17.25" customHeight="1" spans="1:14">
      <c r="A32" s="18" t="s">
        <v>303</v>
      </c>
      <c r="B32" s="19">
        <v>70</v>
      </c>
      <c r="C32" s="19">
        <v>84</v>
      </c>
      <c r="D32" s="19">
        <v>100</v>
      </c>
      <c r="E32" s="20">
        <f t="shared" si="0"/>
        <v>30</v>
      </c>
      <c r="F32" s="20">
        <f>D32-I32</f>
        <v>38</v>
      </c>
      <c r="G32" s="21">
        <f t="shared" si="1"/>
        <v>0.612903225806452</v>
      </c>
      <c r="H32" s="25"/>
      <c r="I32" s="19">
        <v>62</v>
      </c>
      <c r="K32" s="31">
        <f>D32-C32</f>
        <v>16</v>
      </c>
      <c r="N32" s="31">
        <f t="shared" si="5"/>
        <v>16</v>
      </c>
    </row>
    <row r="33" ht="17.25" customHeight="1" spans="1:11">
      <c r="A33" s="18" t="s">
        <v>304</v>
      </c>
      <c r="B33" s="19">
        <v>6205</v>
      </c>
      <c r="C33" s="19">
        <v>5400</v>
      </c>
      <c r="D33" s="19">
        <v>6420</v>
      </c>
      <c r="E33" s="20">
        <f t="shared" si="0"/>
        <v>215</v>
      </c>
      <c r="F33" s="20">
        <f>D33-I33</f>
        <v>449</v>
      </c>
      <c r="G33" s="21">
        <f t="shared" si="1"/>
        <v>0.0751967844582146</v>
      </c>
      <c r="H33" s="25"/>
      <c r="I33" s="19">
        <v>5971</v>
      </c>
      <c r="K33" s="31">
        <f>D33-C33</f>
        <v>1020</v>
      </c>
    </row>
    <row r="34" ht="17.25" customHeight="1" spans="1:9">
      <c r="A34" s="18" t="s">
        <v>305</v>
      </c>
      <c r="B34" s="19">
        <f t="shared" ref="B34:D35" si="7">B16*1.5</f>
        <v>17175</v>
      </c>
      <c r="C34" s="19">
        <f t="shared" si="7"/>
        <v>13678.5</v>
      </c>
      <c r="D34" s="19">
        <f t="shared" si="7"/>
        <v>14100</v>
      </c>
      <c r="E34" s="20">
        <f t="shared" si="0"/>
        <v>-3075</v>
      </c>
      <c r="F34" s="19">
        <f>F16*1.5</f>
        <v>-2709</v>
      </c>
      <c r="G34" s="21">
        <f t="shared" si="1"/>
        <v>-0.161163662323755</v>
      </c>
      <c r="H34" s="27"/>
      <c r="I34" s="19">
        <f>I16*1.5</f>
        <v>16809</v>
      </c>
    </row>
    <row r="35" ht="17.25" customHeight="1" spans="1:9">
      <c r="A35" s="18" t="s">
        <v>306</v>
      </c>
      <c r="B35" s="19">
        <f t="shared" si="7"/>
        <v>3000</v>
      </c>
      <c r="C35" s="19">
        <f t="shared" si="7"/>
        <v>4479</v>
      </c>
      <c r="D35" s="19">
        <f t="shared" si="7"/>
        <v>9810</v>
      </c>
      <c r="E35" s="20">
        <f>SUM(E36:E37)</f>
        <v>-16500</v>
      </c>
      <c r="F35" s="19">
        <f>F17*1.5</f>
        <v>6582</v>
      </c>
      <c r="G35" s="21">
        <f t="shared" si="1"/>
        <v>2.03903345724907</v>
      </c>
      <c r="H35" s="27"/>
      <c r="I35" s="19">
        <f>I17*1.5</f>
        <v>3228</v>
      </c>
    </row>
    <row r="36" ht="17.25" customHeight="1" spans="1:11">
      <c r="A36" s="13" t="s">
        <v>307</v>
      </c>
      <c r="B36" s="14">
        <f>SUM(B37:B42)</f>
        <v>141500</v>
      </c>
      <c r="C36" s="14">
        <f>SUM(C37:C42)</f>
        <v>34811</v>
      </c>
      <c r="D36" s="14">
        <f>SUM(D37:D42)</f>
        <v>125000</v>
      </c>
      <c r="E36" s="15">
        <f>SUM(E37:E42)</f>
        <v>-16500</v>
      </c>
      <c r="F36" s="14">
        <f>SUM(F37:F42)</f>
        <v>-27518</v>
      </c>
      <c r="G36" s="16">
        <f t="shared" si="1"/>
        <v>-0.18042460562032</v>
      </c>
      <c r="H36" s="27"/>
      <c r="I36" s="14">
        <f>SUM(I37:I42)</f>
        <v>152518</v>
      </c>
      <c r="K36" s="31">
        <f>D36-I36</f>
        <v>-27518</v>
      </c>
    </row>
    <row r="37" ht="17.25" customHeight="1" spans="1:9">
      <c r="A37" s="28" t="s">
        <v>317</v>
      </c>
      <c r="B37" s="29"/>
      <c r="C37" s="20"/>
      <c r="D37" s="20"/>
      <c r="E37" s="20">
        <f t="shared" si="0"/>
        <v>0</v>
      </c>
      <c r="F37" s="20">
        <f t="shared" ref="F37:F42" si="8">D37-I37</f>
        <v>0</v>
      </c>
      <c r="G37" s="21" t="e">
        <f t="shared" si="1"/>
        <v>#DIV/0!</v>
      </c>
      <c r="H37" s="27"/>
      <c r="I37" s="20"/>
    </row>
    <row r="38" ht="17.25" customHeight="1" spans="1:9">
      <c r="A38" s="28" t="s">
        <v>309</v>
      </c>
      <c r="B38" s="29">
        <v>138050</v>
      </c>
      <c r="C38" s="20">
        <v>31932</v>
      </c>
      <c r="D38" s="20">
        <v>121558</v>
      </c>
      <c r="E38" s="20">
        <f t="shared" si="0"/>
        <v>-16492</v>
      </c>
      <c r="F38" s="20">
        <f t="shared" si="8"/>
        <v>-28576</v>
      </c>
      <c r="G38" s="21">
        <f t="shared" si="1"/>
        <v>-0.190336632608203</v>
      </c>
      <c r="H38" s="27"/>
      <c r="I38" s="36">
        <v>150134</v>
      </c>
    </row>
    <row r="39" ht="17.25" customHeight="1" spans="1:9">
      <c r="A39" s="28" t="s">
        <v>310</v>
      </c>
      <c r="B39" s="29">
        <v>2200</v>
      </c>
      <c r="C39" s="20">
        <v>1729</v>
      </c>
      <c r="D39" s="20">
        <v>2200</v>
      </c>
      <c r="E39" s="20">
        <f t="shared" si="0"/>
        <v>0</v>
      </c>
      <c r="F39" s="20">
        <f t="shared" si="8"/>
        <v>1051</v>
      </c>
      <c r="G39" s="21">
        <f t="shared" si="1"/>
        <v>0.914708442123586</v>
      </c>
      <c r="H39" s="27"/>
      <c r="I39" s="36">
        <v>1149</v>
      </c>
    </row>
    <row r="40" ht="17.25" customHeight="1" spans="1:9">
      <c r="A40" s="28" t="s">
        <v>311</v>
      </c>
      <c r="B40" s="29">
        <v>700</v>
      </c>
      <c r="C40" s="20">
        <v>817</v>
      </c>
      <c r="D40" s="20">
        <v>817</v>
      </c>
      <c r="E40" s="20">
        <f t="shared" si="0"/>
        <v>117</v>
      </c>
      <c r="F40" s="20">
        <f t="shared" si="8"/>
        <v>119</v>
      </c>
      <c r="G40" s="21">
        <f t="shared" si="1"/>
        <v>0.170487106017192</v>
      </c>
      <c r="H40" s="27"/>
      <c r="I40" s="40">
        <v>698</v>
      </c>
    </row>
    <row r="41" ht="17.25" customHeight="1" spans="1:9">
      <c r="A41" s="28" t="s">
        <v>312</v>
      </c>
      <c r="B41" s="29">
        <v>250</v>
      </c>
      <c r="C41" s="20">
        <v>98</v>
      </c>
      <c r="D41" s="20">
        <v>125</v>
      </c>
      <c r="E41" s="20">
        <f t="shared" si="0"/>
        <v>-125</v>
      </c>
      <c r="F41" s="20">
        <f t="shared" si="8"/>
        <v>-115</v>
      </c>
      <c r="G41" s="21">
        <f t="shared" si="1"/>
        <v>-0.479166666666667</v>
      </c>
      <c r="H41" s="27"/>
      <c r="I41" s="20">
        <v>240</v>
      </c>
    </row>
    <row r="42" ht="17.25" customHeight="1" spans="1:9">
      <c r="A42" s="28" t="s">
        <v>313</v>
      </c>
      <c r="B42" s="29">
        <v>300</v>
      </c>
      <c r="C42" s="20">
        <v>235</v>
      </c>
      <c r="D42" s="20">
        <v>300</v>
      </c>
      <c r="E42" s="20">
        <f t="shared" si="0"/>
        <v>0</v>
      </c>
      <c r="F42" s="20">
        <f t="shared" si="8"/>
        <v>3</v>
      </c>
      <c r="G42" s="21">
        <f t="shared" si="1"/>
        <v>0.0101010101010102</v>
      </c>
      <c r="H42" s="27"/>
      <c r="I42" s="20">
        <v>297</v>
      </c>
    </row>
    <row r="43" spans="4:9">
      <c r="D43" s="30"/>
      <c r="E43" s="30"/>
      <c r="F43" s="30"/>
      <c r="I43" s="30"/>
    </row>
    <row r="44" spans="4:9">
      <c r="D44" s="3">
        <f>(D22+1500)/D9</f>
        <v>0.0518207282913165</v>
      </c>
      <c r="I44" s="3">
        <f>I22/I9</f>
        <v>0.0404035938864146</v>
      </c>
    </row>
  </sheetData>
  <mergeCells count="5">
    <mergeCell ref="A1:G1"/>
    <mergeCell ref="D3:G3"/>
    <mergeCell ref="A3:A4"/>
    <mergeCell ref="B3:B4"/>
    <mergeCell ref="C3:C4"/>
  </mergeCells>
  <pageMargins left="0.747916666666667" right="0" top="0.590277777777778" bottom="0.393055555555556" header="0.511805555555556" footer="0.511805555555556"/>
  <pageSetup paperSize="9" scale="9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H6:O25"/>
  <sheetViews>
    <sheetView workbookViewId="0">
      <selection activeCell="I32" sqref="I32"/>
    </sheetView>
  </sheetViews>
  <sheetFormatPr defaultColWidth="9" defaultRowHeight="14.25"/>
  <cols>
    <col min="9" max="9" width="29.625" customWidth="1"/>
    <col min="12" max="12" width="16.75" customWidth="1"/>
  </cols>
  <sheetData>
    <row r="6" spans="8:15">
      <c r="H6">
        <v>37856</v>
      </c>
      <c r="I6" t="s">
        <v>19</v>
      </c>
      <c r="J6">
        <v>37856</v>
      </c>
      <c r="L6" t="s">
        <v>124</v>
      </c>
      <c r="M6">
        <v>23889</v>
      </c>
      <c r="N6">
        <v>12387</v>
      </c>
      <c r="O6">
        <f>H6-N6</f>
        <v>25469</v>
      </c>
    </row>
    <row r="7" spans="8:15">
      <c r="H7">
        <v>534</v>
      </c>
      <c r="I7" t="s">
        <v>22</v>
      </c>
      <c r="J7">
        <v>534</v>
      </c>
      <c r="L7" t="s">
        <v>126</v>
      </c>
      <c r="M7">
        <v>137</v>
      </c>
      <c r="N7">
        <v>281</v>
      </c>
      <c r="O7">
        <f t="shared" ref="O7:O25" si="0">H7-N7</f>
        <v>253</v>
      </c>
    </row>
    <row r="8" spans="8:15">
      <c r="H8">
        <v>14779</v>
      </c>
      <c r="I8" t="s">
        <v>25</v>
      </c>
      <c r="J8">
        <v>14779</v>
      </c>
      <c r="L8" t="s">
        <v>128</v>
      </c>
      <c r="M8">
        <v>11762</v>
      </c>
      <c r="N8">
        <v>2819</v>
      </c>
      <c r="O8">
        <f t="shared" si="0"/>
        <v>11960</v>
      </c>
    </row>
    <row r="9" spans="8:15">
      <c r="H9">
        <v>116333</v>
      </c>
      <c r="I9" t="s">
        <v>28</v>
      </c>
      <c r="J9">
        <v>116333</v>
      </c>
      <c r="L9" t="s">
        <v>130</v>
      </c>
      <c r="M9">
        <v>100396</v>
      </c>
      <c r="N9">
        <v>9966</v>
      </c>
      <c r="O9">
        <f t="shared" si="0"/>
        <v>106367</v>
      </c>
    </row>
    <row r="10" spans="8:15">
      <c r="H10">
        <v>2955</v>
      </c>
      <c r="I10" t="s">
        <v>31</v>
      </c>
      <c r="J10">
        <v>2955</v>
      </c>
      <c r="L10" t="s">
        <v>132</v>
      </c>
      <c r="M10">
        <v>549</v>
      </c>
      <c r="N10">
        <v>2406</v>
      </c>
      <c r="O10">
        <f t="shared" si="0"/>
        <v>549</v>
      </c>
    </row>
    <row r="11" spans="8:15">
      <c r="H11">
        <v>4094</v>
      </c>
      <c r="I11" t="s">
        <v>34</v>
      </c>
      <c r="J11">
        <v>4094</v>
      </c>
      <c r="L11" t="s">
        <v>134</v>
      </c>
      <c r="M11">
        <v>2502</v>
      </c>
      <c r="N11">
        <v>1506</v>
      </c>
      <c r="O11">
        <f t="shared" si="0"/>
        <v>2588</v>
      </c>
    </row>
    <row r="12" spans="8:15">
      <c r="H12">
        <v>37767</v>
      </c>
      <c r="I12" t="s">
        <v>37</v>
      </c>
      <c r="J12">
        <v>37767</v>
      </c>
      <c r="L12" t="s">
        <v>136</v>
      </c>
      <c r="M12">
        <v>8933</v>
      </c>
      <c r="N12">
        <v>29358</v>
      </c>
      <c r="O12">
        <f t="shared" si="0"/>
        <v>8409</v>
      </c>
    </row>
    <row r="13" spans="8:15">
      <c r="H13">
        <v>32177</v>
      </c>
      <c r="I13" t="s">
        <v>39</v>
      </c>
      <c r="J13">
        <v>32177</v>
      </c>
      <c r="L13" t="s">
        <v>138</v>
      </c>
      <c r="M13">
        <v>11218</v>
      </c>
      <c r="N13">
        <v>20413</v>
      </c>
      <c r="O13">
        <f t="shared" si="0"/>
        <v>11764</v>
      </c>
    </row>
    <row r="14" spans="8:15">
      <c r="H14">
        <v>6874</v>
      </c>
      <c r="I14" t="s">
        <v>42</v>
      </c>
      <c r="J14">
        <v>6874</v>
      </c>
      <c r="L14" t="s">
        <v>140</v>
      </c>
      <c r="M14">
        <v>0</v>
      </c>
      <c r="N14">
        <v>6874</v>
      </c>
      <c r="O14">
        <f t="shared" si="0"/>
        <v>0</v>
      </c>
    </row>
    <row r="15" spans="8:15">
      <c r="H15">
        <v>7495</v>
      </c>
      <c r="I15" t="s">
        <v>45</v>
      </c>
      <c r="J15">
        <v>7495</v>
      </c>
      <c r="L15" t="s">
        <v>142</v>
      </c>
      <c r="M15">
        <v>4655</v>
      </c>
      <c r="N15">
        <v>3878</v>
      </c>
      <c r="O15">
        <f t="shared" si="0"/>
        <v>3617</v>
      </c>
    </row>
    <row r="16" spans="8:15">
      <c r="H16">
        <v>19313</v>
      </c>
      <c r="I16" t="s">
        <v>48</v>
      </c>
      <c r="J16">
        <v>19313</v>
      </c>
      <c r="L16" t="s">
        <v>144</v>
      </c>
      <c r="M16">
        <v>9173</v>
      </c>
      <c r="N16">
        <v>10563</v>
      </c>
      <c r="O16">
        <f t="shared" si="0"/>
        <v>8750</v>
      </c>
    </row>
    <row r="17" spans="8:15">
      <c r="H17">
        <v>2935</v>
      </c>
      <c r="I17" t="s">
        <v>50</v>
      </c>
      <c r="J17">
        <v>2935</v>
      </c>
      <c r="L17" t="s">
        <v>146</v>
      </c>
      <c r="M17">
        <v>1719</v>
      </c>
      <c r="N17">
        <v>1836</v>
      </c>
      <c r="O17">
        <f t="shared" si="0"/>
        <v>1099</v>
      </c>
    </row>
    <row r="18" spans="8:15">
      <c r="H18">
        <v>20364</v>
      </c>
      <c r="I18" t="s">
        <v>53</v>
      </c>
      <c r="J18">
        <v>20364</v>
      </c>
      <c r="L18" t="s">
        <v>148</v>
      </c>
      <c r="M18">
        <v>693</v>
      </c>
      <c r="N18">
        <v>19671</v>
      </c>
      <c r="O18">
        <f t="shared" si="0"/>
        <v>693</v>
      </c>
    </row>
    <row r="19" spans="8:15">
      <c r="H19">
        <v>577</v>
      </c>
      <c r="I19" t="s">
        <v>56</v>
      </c>
      <c r="J19">
        <v>577</v>
      </c>
      <c r="L19" t="s">
        <v>150</v>
      </c>
      <c r="M19">
        <v>505</v>
      </c>
      <c r="N19">
        <v>72</v>
      </c>
      <c r="O19">
        <f t="shared" si="0"/>
        <v>505</v>
      </c>
    </row>
    <row r="20" spans="8:15">
      <c r="H20">
        <v>4030</v>
      </c>
      <c r="I20" t="s">
        <v>59</v>
      </c>
      <c r="J20">
        <v>4030</v>
      </c>
      <c r="L20" t="s">
        <v>155</v>
      </c>
      <c r="M20">
        <v>1416</v>
      </c>
      <c r="N20">
        <v>2814</v>
      </c>
      <c r="O20">
        <f t="shared" si="0"/>
        <v>1216</v>
      </c>
    </row>
    <row r="21" spans="8:15">
      <c r="H21">
        <v>200</v>
      </c>
      <c r="I21" t="s">
        <v>62</v>
      </c>
      <c r="J21">
        <v>200</v>
      </c>
      <c r="L21" t="s">
        <v>157</v>
      </c>
      <c r="M21">
        <v>0</v>
      </c>
      <c r="N21">
        <v>200</v>
      </c>
      <c r="O21">
        <f t="shared" si="0"/>
        <v>0</v>
      </c>
    </row>
    <row r="22" spans="8:15">
      <c r="H22">
        <v>2250</v>
      </c>
      <c r="I22" t="s">
        <v>65</v>
      </c>
      <c r="J22">
        <v>2250</v>
      </c>
      <c r="L22" t="s">
        <v>158</v>
      </c>
      <c r="M22">
        <v>0</v>
      </c>
      <c r="N22">
        <v>2250</v>
      </c>
      <c r="O22">
        <f t="shared" si="0"/>
        <v>0</v>
      </c>
    </row>
    <row r="23" spans="8:15">
      <c r="H23">
        <v>3643</v>
      </c>
      <c r="I23" t="s">
        <v>68</v>
      </c>
      <c r="J23">
        <v>3643</v>
      </c>
      <c r="L23" t="s">
        <v>159</v>
      </c>
      <c r="M23">
        <v>1035</v>
      </c>
      <c r="N23">
        <v>2472</v>
      </c>
      <c r="O23">
        <f t="shared" si="0"/>
        <v>1171</v>
      </c>
    </row>
    <row r="24" spans="8:15">
      <c r="H24">
        <v>16244</v>
      </c>
      <c r="I24" t="s">
        <v>71</v>
      </c>
      <c r="J24">
        <v>16244</v>
      </c>
      <c r="L24" t="s">
        <v>162</v>
      </c>
      <c r="N24">
        <v>16244</v>
      </c>
      <c r="O24">
        <f t="shared" si="0"/>
        <v>0</v>
      </c>
    </row>
    <row r="25" spans="8:15">
      <c r="H25">
        <v>15107</v>
      </c>
      <c r="I25" t="s">
        <v>74</v>
      </c>
      <c r="J25">
        <v>15107</v>
      </c>
      <c r="L25" t="s">
        <v>160</v>
      </c>
      <c r="N25">
        <v>5000</v>
      </c>
      <c r="O25">
        <f t="shared" si="0"/>
        <v>10107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E1:H226"/>
  <sheetViews>
    <sheetView workbookViewId="0">
      <selection activeCell="F5" sqref="F5:G5"/>
    </sheetView>
  </sheetViews>
  <sheetFormatPr defaultColWidth="9" defaultRowHeight="14.25" outlineLevelCol="7"/>
  <sheetData>
    <row r="1" spans="5:8">
      <c r="E1" t="s">
        <v>318</v>
      </c>
      <c r="F1" t="s">
        <v>319</v>
      </c>
      <c r="H1" t="s">
        <v>17</v>
      </c>
    </row>
    <row r="4" spans="5:8">
      <c r="E4" t="s">
        <v>320</v>
      </c>
      <c r="F4">
        <v>370859</v>
      </c>
      <c r="G4">
        <v>205119</v>
      </c>
      <c r="H4">
        <v>422108</v>
      </c>
    </row>
    <row r="5" spans="5:8">
      <c r="E5" t="s">
        <v>124</v>
      </c>
      <c r="F5">
        <v>36307</v>
      </c>
      <c r="G5">
        <v>2285</v>
      </c>
      <c r="H5">
        <v>35581</v>
      </c>
    </row>
    <row r="6" spans="5:8">
      <c r="E6" t="s">
        <v>321</v>
      </c>
      <c r="F6">
        <v>1464</v>
      </c>
      <c r="G6">
        <v>27</v>
      </c>
      <c r="H6">
        <v>1327</v>
      </c>
    </row>
    <row r="7" spans="5:8">
      <c r="E7" t="s">
        <v>322</v>
      </c>
      <c r="F7">
        <v>991</v>
      </c>
      <c r="G7">
        <v>25</v>
      </c>
      <c r="H7">
        <v>795</v>
      </c>
    </row>
    <row r="8" spans="5:8">
      <c r="E8" t="s">
        <v>323</v>
      </c>
      <c r="F8">
        <v>12646</v>
      </c>
      <c r="G8">
        <v>736</v>
      </c>
      <c r="H8">
        <v>15233</v>
      </c>
    </row>
    <row r="9" spans="5:8">
      <c r="E9" t="s">
        <v>324</v>
      </c>
      <c r="F9">
        <v>1026</v>
      </c>
      <c r="G9">
        <v>316</v>
      </c>
      <c r="H9">
        <v>1565</v>
      </c>
    </row>
    <row r="10" spans="5:8">
      <c r="E10" t="s">
        <v>325</v>
      </c>
      <c r="F10">
        <v>501</v>
      </c>
      <c r="G10">
        <v>2</v>
      </c>
      <c r="H10">
        <v>531</v>
      </c>
    </row>
    <row r="11" spans="5:8">
      <c r="E11" t="s">
        <v>326</v>
      </c>
      <c r="F11">
        <v>1745</v>
      </c>
      <c r="G11">
        <v>390</v>
      </c>
      <c r="H11">
        <v>1792</v>
      </c>
    </row>
    <row r="12" spans="5:8">
      <c r="E12" t="s">
        <v>327</v>
      </c>
      <c r="F12">
        <v>1070</v>
      </c>
      <c r="G12">
        <v>0</v>
      </c>
      <c r="H12">
        <v>1070</v>
      </c>
    </row>
    <row r="13" spans="5:8">
      <c r="E13" t="s">
        <v>328</v>
      </c>
      <c r="F13">
        <v>491</v>
      </c>
      <c r="G13">
        <v>40</v>
      </c>
      <c r="H13">
        <v>481</v>
      </c>
    </row>
    <row r="14" spans="5:8">
      <c r="E14" t="s">
        <v>329</v>
      </c>
      <c r="G14">
        <v>0</v>
      </c>
      <c r="H14">
        <v>0</v>
      </c>
    </row>
    <row r="15" spans="5:8">
      <c r="E15" t="s">
        <v>330</v>
      </c>
      <c r="F15">
        <v>2408</v>
      </c>
      <c r="G15">
        <v>153</v>
      </c>
      <c r="H15">
        <v>1978</v>
      </c>
    </row>
    <row r="16" spans="5:8">
      <c r="E16" t="s">
        <v>331</v>
      </c>
      <c r="F16">
        <v>826</v>
      </c>
      <c r="G16">
        <v>61</v>
      </c>
      <c r="H16">
        <v>962</v>
      </c>
    </row>
    <row r="17" spans="5:8">
      <c r="E17" t="s">
        <v>332</v>
      </c>
      <c r="G17">
        <v>43</v>
      </c>
      <c r="H17">
        <v>43</v>
      </c>
    </row>
    <row r="18" spans="5:8">
      <c r="E18" t="s">
        <v>333</v>
      </c>
      <c r="F18">
        <v>3</v>
      </c>
      <c r="G18">
        <v>13</v>
      </c>
      <c r="H18">
        <v>3</v>
      </c>
    </row>
    <row r="19" spans="5:8">
      <c r="E19" t="s">
        <v>334</v>
      </c>
      <c r="F19">
        <v>35</v>
      </c>
      <c r="G19">
        <v>23</v>
      </c>
      <c r="H19">
        <v>17</v>
      </c>
    </row>
    <row r="20" spans="5:8">
      <c r="E20" t="s">
        <v>335</v>
      </c>
      <c r="F20">
        <v>156</v>
      </c>
      <c r="G20">
        <v>8</v>
      </c>
      <c r="H20">
        <v>165</v>
      </c>
    </row>
    <row r="21" spans="5:8">
      <c r="E21" t="s">
        <v>336</v>
      </c>
      <c r="F21">
        <v>154</v>
      </c>
      <c r="G21">
        <v>8</v>
      </c>
      <c r="H21">
        <v>151</v>
      </c>
    </row>
    <row r="22" spans="5:8">
      <c r="E22" t="s">
        <v>337</v>
      </c>
      <c r="F22">
        <v>964</v>
      </c>
      <c r="G22">
        <v>69</v>
      </c>
      <c r="H22">
        <v>696</v>
      </c>
    </row>
    <row r="23" spans="5:8">
      <c r="E23" t="s">
        <v>338</v>
      </c>
      <c r="F23">
        <v>1770</v>
      </c>
      <c r="G23">
        <v>0</v>
      </c>
      <c r="H23">
        <v>1275</v>
      </c>
    </row>
    <row r="24" spans="5:8">
      <c r="E24" t="s">
        <v>339</v>
      </c>
      <c r="F24">
        <v>1961</v>
      </c>
      <c r="G24">
        <v>113</v>
      </c>
      <c r="H24">
        <v>1130</v>
      </c>
    </row>
    <row r="25" spans="5:8">
      <c r="E25" t="s">
        <v>340</v>
      </c>
      <c r="F25">
        <v>604</v>
      </c>
      <c r="G25">
        <v>43</v>
      </c>
      <c r="H25">
        <v>532</v>
      </c>
    </row>
    <row r="26" spans="5:8">
      <c r="E26" t="s">
        <v>341</v>
      </c>
      <c r="F26">
        <v>417</v>
      </c>
      <c r="G26">
        <v>102</v>
      </c>
      <c r="H26">
        <v>668</v>
      </c>
    </row>
    <row r="27" spans="5:8">
      <c r="E27" t="s">
        <v>342</v>
      </c>
      <c r="G27">
        <v>0</v>
      </c>
      <c r="H27">
        <v>0</v>
      </c>
    </row>
    <row r="28" spans="5:8">
      <c r="E28" t="s">
        <v>343</v>
      </c>
      <c r="F28">
        <v>2272</v>
      </c>
      <c r="G28">
        <v>53</v>
      </c>
      <c r="H28">
        <v>2177</v>
      </c>
    </row>
    <row r="29" spans="5:8">
      <c r="E29" t="s">
        <v>344</v>
      </c>
      <c r="G29">
        <v>0</v>
      </c>
      <c r="H29">
        <v>0</v>
      </c>
    </row>
    <row r="30" spans="5:8">
      <c r="E30" t="s">
        <v>345</v>
      </c>
      <c r="F30">
        <v>3206</v>
      </c>
      <c r="G30">
        <v>60</v>
      </c>
      <c r="H30">
        <v>2990</v>
      </c>
    </row>
    <row r="31" spans="5:8">
      <c r="E31" t="s">
        <v>346</v>
      </c>
      <c r="F31">
        <v>1597</v>
      </c>
      <c r="G31">
        <v>0</v>
      </c>
      <c r="H31">
        <v>0</v>
      </c>
    </row>
    <row r="32" spans="5:8">
      <c r="E32" t="s">
        <v>347</v>
      </c>
      <c r="F32">
        <v>0</v>
      </c>
      <c r="G32">
        <v>0</v>
      </c>
      <c r="H32">
        <v>0</v>
      </c>
    </row>
    <row r="33" spans="5:8">
      <c r="E33" t="s">
        <v>348</v>
      </c>
      <c r="G33">
        <v>0</v>
      </c>
      <c r="H33">
        <v>0</v>
      </c>
    </row>
    <row r="34" spans="5:8">
      <c r="E34" t="s">
        <v>349</v>
      </c>
      <c r="G34">
        <v>0</v>
      </c>
      <c r="H34">
        <v>0</v>
      </c>
    </row>
    <row r="35" spans="5:8">
      <c r="E35" t="s">
        <v>350</v>
      </c>
      <c r="G35">
        <v>0</v>
      </c>
      <c r="H35">
        <v>0</v>
      </c>
    </row>
    <row r="36" spans="5:8">
      <c r="E36" t="s">
        <v>351</v>
      </c>
      <c r="G36">
        <v>0</v>
      </c>
      <c r="H36">
        <v>0</v>
      </c>
    </row>
    <row r="37" spans="5:8">
      <c r="E37" t="s">
        <v>352</v>
      </c>
      <c r="G37">
        <v>0</v>
      </c>
      <c r="H37">
        <v>0</v>
      </c>
    </row>
    <row r="38" spans="5:8">
      <c r="E38" t="s">
        <v>353</v>
      </c>
      <c r="G38">
        <v>0</v>
      </c>
      <c r="H38">
        <v>0</v>
      </c>
    </row>
    <row r="39" spans="5:8">
      <c r="E39" t="s">
        <v>354</v>
      </c>
      <c r="G39">
        <v>0</v>
      </c>
      <c r="H39">
        <v>0</v>
      </c>
    </row>
    <row r="40" spans="5:8">
      <c r="E40" t="s">
        <v>355</v>
      </c>
      <c r="G40">
        <v>0</v>
      </c>
      <c r="H40">
        <v>0</v>
      </c>
    </row>
    <row r="41" spans="5:8">
      <c r="E41" t="s">
        <v>356</v>
      </c>
      <c r="G41">
        <v>0</v>
      </c>
      <c r="H41">
        <v>0</v>
      </c>
    </row>
    <row r="42" spans="5:8">
      <c r="E42" t="s">
        <v>126</v>
      </c>
      <c r="F42">
        <v>418</v>
      </c>
      <c r="G42">
        <v>172</v>
      </c>
      <c r="H42">
        <v>526</v>
      </c>
    </row>
    <row r="43" spans="5:8">
      <c r="E43" t="s">
        <v>357</v>
      </c>
      <c r="G43">
        <v>0</v>
      </c>
      <c r="H43">
        <v>0</v>
      </c>
    </row>
    <row r="44" spans="5:8">
      <c r="E44" t="s">
        <v>358</v>
      </c>
      <c r="G44">
        <v>0</v>
      </c>
      <c r="H44">
        <v>0</v>
      </c>
    </row>
    <row r="45" spans="5:8">
      <c r="E45" t="s">
        <v>359</v>
      </c>
      <c r="G45">
        <v>0</v>
      </c>
      <c r="H45">
        <v>0</v>
      </c>
    </row>
    <row r="46" spans="5:8">
      <c r="E46" t="s">
        <v>360</v>
      </c>
      <c r="F46">
        <v>254</v>
      </c>
      <c r="G46">
        <v>172</v>
      </c>
      <c r="H46">
        <v>214</v>
      </c>
    </row>
    <row r="47" spans="5:8">
      <c r="E47" t="s">
        <v>361</v>
      </c>
      <c r="F47">
        <v>164</v>
      </c>
      <c r="G47">
        <v>0</v>
      </c>
      <c r="H47">
        <v>312</v>
      </c>
    </row>
    <row r="48" spans="5:8">
      <c r="E48" t="s">
        <v>128</v>
      </c>
      <c r="F48">
        <v>15623</v>
      </c>
      <c r="G48">
        <v>2341</v>
      </c>
      <c r="H48">
        <v>14896</v>
      </c>
    </row>
    <row r="49" spans="5:8">
      <c r="E49" t="s">
        <v>362</v>
      </c>
      <c r="F49">
        <v>55</v>
      </c>
      <c r="G49">
        <v>0</v>
      </c>
      <c r="H49">
        <v>0</v>
      </c>
    </row>
    <row r="50" spans="5:8">
      <c r="E50" t="s">
        <v>363</v>
      </c>
      <c r="F50">
        <v>13947</v>
      </c>
      <c r="G50">
        <v>1404</v>
      </c>
      <c r="H50">
        <v>12751</v>
      </c>
    </row>
    <row r="51" spans="5:8">
      <c r="E51" t="s">
        <v>364</v>
      </c>
      <c r="G51">
        <v>0</v>
      </c>
      <c r="H51">
        <v>0</v>
      </c>
    </row>
    <row r="52" spans="5:8">
      <c r="E52" t="s">
        <v>365</v>
      </c>
      <c r="G52">
        <v>0</v>
      </c>
      <c r="H52">
        <v>58</v>
      </c>
    </row>
    <row r="53" spans="5:8">
      <c r="E53" t="s">
        <v>366</v>
      </c>
      <c r="G53">
        <v>0</v>
      </c>
      <c r="H53">
        <v>18</v>
      </c>
    </row>
    <row r="54" spans="5:8">
      <c r="E54" t="s">
        <v>367</v>
      </c>
      <c r="F54">
        <v>1611</v>
      </c>
      <c r="G54">
        <v>846</v>
      </c>
      <c r="H54">
        <v>1731</v>
      </c>
    </row>
    <row r="55" spans="5:8">
      <c r="E55" t="s">
        <v>368</v>
      </c>
      <c r="G55">
        <v>0</v>
      </c>
      <c r="H55">
        <v>0</v>
      </c>
    </row>
    <row r="56" spans="5:8">
      <c r="E56" t="s">
        <v>369</v>
      </c>
      <c r="G56">
        <v>0</v>
      </c>
      <c r="H56">
        <v>0</v>
      </c>
    </row>
    <row r="57" spans="5:8">
      <c r="E57" t="s">
        <v>370</v>
      </c>
      <c r="G57">
        <v>0</v>
      </c>
      <c r="H57">
        <v>0</v>
      </c>
    </row>
    <row r="58" spans="5:8">
      <c r="E58" t="s">
        <v>371</v>
      </c>
      <c r="G58">
        <v>0</v>
      </c>
      <c r="H58">
        <v>0</v>
      </c>
    </row>
    <row r="59" spans="5:8">
      <c r="E59" t="s">
        <v>372</v>
      </c>
      <c r="F59">
        <v>10</v>
      </c>
      <c r="G59">
        <v>91</v>
      </c>
      <c r="H59">
        <v>338</v>
      </c>
    </row>
    <row r="60" spans="5:8">
      <c r="E60" t="s">
        <v>130</v>
      </c>
      <c r="F60">
        <v>112599</v>
      </c>
      <c r="G60">
        <v>22332</v>
      </c>
      <c r="H60">
        <v>115035</v>
      </c>
    </row>
    <row r="61" spans="5:8">
      <c r="E61" t="s">
        <v>373</v>
      </c>
      <c r="F61">
        <v>1529</v>
      </c>
      <c r="G61">
        <v>87</v>
      </c>
      <c r="H61">
        <v>1641</v>
      </c>
    </row>
    <row r="62" spans="5:8">
      <c r="E62" t="s">
        <v>374</v>
      </c>
      <c r="F62">
        <v>105157</v>
      </c>
      <c r="G62">
        <v>20805</v>
      </c>
      <c r="H62">
        <v>107289</v>
      </c>
    </row>
    <row r="63" spans="5:8">
      <c r="E63" t="s">
        <v>375</v>
      </c>
      <c r="F63">
        <v>2111</v>
      </c>
      <c r="G63">
        <v>578</v>
      </c>
      <c r="H63">
        <v>2364</v>
      </c>
    </row>
    <row r="64" spans="5:8">
      <c r="E64" t="s">
        <v>376</v>
      </c>
      <c r="G64">
        <v>0</v>
      </c>
      <c r="H64">
        <v>0</v>
      </c>
    </row>
    <row r="65" spans="5:8">
      <c r="E65" t="s">
        <v>377</v>
      </c>
      <c r="F65">
        <v>10</v>
      </c>
      <c r="G65">
        <v>0</v>
      </c>
      <c r="H65">
        <v>4</v>
      </c>
    </row>
    <row r="66" spans="5:8">
      <c r="E66" t="s">
        <v>378</v>
      </c>
      <c r="G66">
        <v>0</v>
      </c>
      <c r="H66">
        <v>0</v>
      </c>
    </row>
    <row r="67" spans="5:8">
      <c r="E67" t="s">
        <v>379</v>
      </c>
      <c r="F67">
        <v>479</v>
      </c>
      <c r="G67">
        <v>186</v>
      </c>
      <c r="H67">
        <v>507</v>
      </c>
    </row>
    <row r="68" spans="5:8">
      <c r="E68" t="s">
        <v>380</v>
      </c>
      <c r="F68">
        <v>1013</v>
      </c>
      <c r="G68">
        <v>0</v>
      </c>
      <c r="H68">
        <v>1094</v>
      </c>
    </row>
    <row r="69" spans="5:8">
      <c r="E69" t="s">
        <v>381</v>
      </c>
      <c r="F69">
        <v>2300</v>
      </c>
      <c r="G69">
        <v>656</v>
      </c>
      <c r="H69">
        <v>2116</v>
      </c>
    </row>
    <row r="70" spans="5:8">
      <c r="E70" t="s">
        <v>382</v>
      </c>
      <c r="G70">
        <v>20</v>
      </c>
      <c r="H70">
        <v>22</v>
      </c>
    </row>
    <row r="71" spans="5:8">
      <c r="E71" t="s">
        <v>132</v>
      </c>
      <c r="F71">
        <v>3155</v>
      </c>
      <c r="G71">
        <v>890</v>
      </c>
      <c r="H71">
        <v>4529</v>
      </c>
    </row>
    <row r="72" spans="5:8">
      <c r="E72" t="s">
        <v>383</v>
      </c>
      <c r="F72">
        <v>341</v>
      </c>
      <c r="G72">
        <v>8</v>
      </c>
      <c r="H72">
        <v>162</v>
      </c>
    </row>
    <row r="73" spans="5:8">
      <c r="E73" t="s">
        <v>384</v>
      </c>
      <c r="G73">
        <v>0</v>
      </c>
      <c r="H73">
        <v>0</v>
      </c>
    </row>
    <row r="74" spans="5:8">
      <c r="E74" t="s">
        <v>385</v>
      </c>
      <c r="G74">
        <v>20</v>
      </c>
      <c r="H74">
        <v>20</v>
      </c>
    </row>
    <row r="75" spans="5:8">
      <c r="E75" t="s">
        <v>386</v>
      </c>
      <c r="F75">
        <v>2550</v>
      </c>
      <c r="G75">
        <v>756</v>
      </c>
      <c r="H75">
        <v>4009</v>
      </c>
    </row>
    <row r="76" spans="5:8">
      <c r="E76" t="s">
        <v>387</v>
      </c>
      <c r="G76">
        <v>0</v>
      </c>
      <c r="H76">
        <v>0</v>
      </c>
    </row>
    <row r="77" spans="5:8">
      <c r="E77" t="s">
        <v>388</v>
      </c>
      <c r="G77">
        <v>0</v>
      </c>
      <c r="H77">
        <v>0</v>
      </c>
    </row>
    <row r="78" spans="5:8">
      <c r="E78" t="s">
        <v>389</v>
      </c>
      <c r="F78">
        <v>264</v>
      </c>
      <c r="G78">
        <v>66</v>
      </c>
      <c r="H78">
        <v>312</v>
      </c>
    </row>
    <row r="79" spans="5:8">
      <c r="E79" t="s">
        <v>390</v>
      </c>
      <c r="G79">
        <v>0</v>
      </c>
      <c r="H79">
        <v>0</v>
      </c>
    </row>
    <row r="80" spans="5:8">
      <c r="E80" t="s">
        <v>391</v>
      </c>
      <c r="G80">
        <v>0</v>
      </c>
      <c r="H80">
        <v>0</v>
      </c>
    </row>
    <row r="81" spans="5:8">
      <c r="E81" t="s">
        <v>392</v>
      </c>
      <c r="G81">
        <v>40</v>
      </c>
      <c r="H81">
        <v>26</v>
      </c>
    </row>
    <row r="82" spans="5:8">
      <c r="E82" t="s">
        <v>134</v>
      </c>
      <c r="F82">
        <v>4988</v>
      </c>
      <c r="G82">
        <v>2368</v>
      </c>
      <c r="H82">
        <v>5432</v>
      </c>
    </row>
    <row r="83" spans="5:8">
      <c r="E83" t="s">
        <v>393</v>
      </c>
      <c r="F83">
        <v>2779</v>
      </c>
      <c r="G83">
        <v>774</v>
      </c>
      <c r="H83">
        <v>2190</v>
      </c>
    </row>
    <row r="84" spans="5:8">
      <c r="E84" t="s">
        <v>394</v>
      </c>
      <c r="F84">
        <v>544</v>
      </c>
      <c r="G84">
        <v>710</v>
      </c>
      <c r="H84">
        <v>855</v>
      </c>
    </row>
    <row r="85" spans="5:8">
      <c r="E85" t="s">
        <v>395</v>
      </c>
      <c r="F85">
        <v>353</v>
      </c>
      <c r="G85">
        <v>66</v>
      </c>
      <c r="H85">
        <v>351</v>
      </c>
    </row>
    <row r="86" spans="5:8">
      <c r="E86" t="s">
        <v>396</v>
      </c>
      <c r="F86">
        <v>119</v>
      </c>
      <c r="G86">
        <v>1</v>
      </c>
      <c r="H86">
        <v>114</v>
      </c>
    </row>
    <row r="87" spans="5:8">
      <c r="E87" t="s">
        <v>397</v>
      </c>
      <c r="F87">
        <v>1193</v>
      </c>
      <c r="G87">
        <v>43</v>
      </c>
      <c r="H87">
        <v>1112</v>
      </c>
    </row>
    <row r="88" spans="5:8">
      <c r="E88" t="s">
        <v>398</v>
      </c>
      <c r="G88">
        <v>774</v>
      </c>
      <c r="H88">
        <v>810</v>
      </c>
    </row>
    <row r="89" spans="5:8">
      <c r="E89" t="s">
        <v>136</v>
      </c>
      <c r="F89">
        <v>62258</v>
      </c>
      <c r="G89">
        <v>37960</v>
      </c>
      <c r="H89">
        <v>59671</v>
      </c>
    </row>
    <row r="90" spans="5:8">
      <c r="E90" t="s">
        <v>399</v>
      </c>
      <c r="F90">
        <v>1092</v>
      </c>
      <c r="G90">
        <v>188</v>
      </c>
      <c r="H90">
        <v>1000</v>
      </c>
    </row>
    <row r="91" spans="5:8">
      <c r="E91" t="s">
        <v>400</v>
      </c>
      <c r="F91">
        <v>1075</v>
      </c>
      <c r="G91">
        <v>386</v>
      </c>
      <c r="H91">
        <v>819</v>
      </c>
    </row>
    <row r="92" spans="5:8">
      <c r="E92" t="s">
        <v>401</v>
      </c>
      <c r="G92">
        <v>0</v>
      </c>
      <c r="H92">
        <v>0</v>
      </c>
    </row>
    <row r="93" spans="5:8">
      <c r="E93" t="s">
        <v>402</v>
      </c>
      <c r="F93">
        <v>24420</v>
      </c>
      <c r="G93">
        <v>13030</v>
      </c>
      <c r="H93">
        <v>24210</v>
      </c>
    </row>
    <row r="94" spans="5:8">
      <c r="E94" t="s">
        <v>403</v>
      </c>
      <c r="G94">
        <v>0</v>
      </c>
      <c r="H94">
        <v>0</v>
      </c>
    </row>
    <row r="95" spans="5:8">
      <c r="E95" t="s">
        <v>404</v>
      </c>
      <c r="F95">
        <v>620</v>
      </c>
      <c r="G95">
        <v>1117</v>
      </c>
      <c r="H95">
        <v>1158</v>
      </c>
    </row>
    <row r="96" spans="5:8">
      <c r="E96" t="s">
        <v>405</v>
      </c>
      <c r="F96">
        <v>3264</v>
      </c>
      <c r="G96">
        <v>2000</v>
      </c>
      <c r="H96">
        <v>3599</v>
      </c>
    </row>
    <row r="97" spans="5:8">
      <c r="E97" t="s">
        <v>406</v>
      </c>
      <c r="F97">
        <v>818</v>
      </c>
      <c r="G97">
        <v>521</v>
      </c>
      <c r="H97">
        <v>266</v>
      </c>
    </row>
    <row r="98" spans="5:8">
      <c r="E98" t="s">
        <v>407</v>
      </c>
      <c r="F98">
        <v>2305</v>
      </c>
      <c r="G98">
        <v>702</v>
      </c>
      <c r="H98">
        <v>1876</v>
      </c>
    </row>
    <row r="99" spans="5:8">
      <c r="E99" t="s">
        <v>408</v>
      </c>
      <c r="F99">
        <v>2293</v>
      </c>
      <c r="G99">
        <v>1430</v>
      </c>
      <c r="H99">
        <v>2418</v>
      </c>
    </row>
    <row r="100" spans="5:8">
      <c r="E100" t="s">
        <v>409</v>
      </c>
      <c r="F100">
        <v>63</v>
      </c>
      <c r="G100">
        <v>0</v>
      </c>
      <c r="H100">
        <v>66</v>
      </c>
    </row>
    <row r="101" spans="5:8">
      <c r="E101" t="s">
        <v>410</v>
      </c>
      <c r="F101">
        <v>4834</v>
      </c>
      <c r="G101">
        <v>53</v>
      </c>
      <c r="H101">
        <v>4833</v>
      </c>
    </row>
    <row r="102" spans="5:8">
      <c r="E102" t="s">
        <v>411</v>
      </c>
      <c r="F102">
        <v>810</v>
      </c>
      <c r="G102">
        <v>21</v>
      </c>
      <c r="H102">
        <v>955</v>
      </c>
    </row>
    <row r="103" spans="5:8">
      <c r="E103" t="s">
        <v>412</v>
      </c>
      <c r="F103">
        <v>874</v>
      </c>
      <c r="G103">
        <v>528</v>
      </c>
      <c r="H103">
        <v>878</v>
      </c>
    </row>
    <row r="104" spans="5:8">
      <c r="E104" t="s">
        <v>413</v>
      </c>
      <c r="G104">
        <v>0</v>
      </c>
      <c r="H104">
        <v>0</v>
      </c>
    </row>
    <row r="105" spans="5:8">
      <c r="E105" t="s">
        <v>414</v>
      </c>
      <c r="F105">
        <v>422</v>
      </c>
      <c r="G105">
        <v>151</v>
      </c>
      <c r="H105">
        <v>171</v>
      </c>
    </row>
    <row r="106" spans="5:8">
      <c r="E106" t="s">
        <v>415</v>
      </c>
      <c r="F106">
        <v>14007</v>
      </c>
      <c r="G106">
        <v>12397</v>
      </c>
      <c r="H106">
        <v>16314</v>
      </c>
    </row>
    <row r="107" spans="5:8">
      <c r="E107" t="s">
        <v>416</v>
      </c>
      <c r="G107">
        <v>0</v>
      </c>
      <c r="H107">
        <v>0</v>
      </c>
    </row>
    <row r="108" spans="5:8">
      <c r="E108" t="s">
        <v>417</v>
      </c>
      <c r="F108">
        <v>347</v>
      </c>
      <c r="G108">
        <v>26</v>
      </c>
      <c r="H108">
        <v>276</v>
      </c>
    </row>
    <row r="109" spans="5:8">
      <c r="E109" t="s">
        <v>418</v>
      </c>
      <c r="F109">
        <v>545</v>
      </c>
      <c r="G109">
        <v>0</v>
      </c>
      <c r="H109">
        <v>0</v>
      </c>
    </row>
    <row r="110" spans="5:8">
      <c r="E110" t="s">
        <v>419</v>
      </c>
      <c r="F110">
        <v>4469</v>
      </c>
      <c r="G110">
        <v>5410</v>
      </c>
      <c r="H110">
        <v>834</v>
      </c>
    </row>
    <row r="111" spans="5:8">
      <c r="E111" t="s">
        <v>138</v>
      </c>
      <c r="F111">
        <v>30724</v>
      </c>
      <c r="G111">
        <v>13808</v>
      </c>
      <c r="H111">
        <v>30450</v>
      </c>
    </row>
    <row r="112" spans="5:8">
      <c r="E112" t="s">
        <v>420</v>
      </c>
      <c r="F112">
        <v>1192</v>
      </c>
      <c r="G112">
        <v>1</v>
      </c>
      <c r="H112">
        <v>1019</v>
      </c>
    </row>
    <row r="113" spans="5:8">
      <c r="E113" t="s">
        <v>421</v>
      </c>
      <c r="F113">
        <v>1310</v>
      </c>
      <c r="G113">
        <v>839</v>
      </c>
      <c r="H113">
        <v>1582</v>
      </c>
    </row>
    <row r="114" spans="5:8">
      <c r="E114" t="s">
        <v>422</v>
      </c>
      <c r="F114">
        <v>9565</v>
      </c>
      <c r="G114">
        <v>2099</v>
      </c>
      <c r="H114">
        <v>7458</v>
      </c>
    </row>
    <row r="115" spans="5:8">
      <c r="E115" t="s">
        <v>423</v>
      </c>
      <c r="F115">
        <v>6092</v>
      </c>
      <c r="G115">
        <v>4339</v>
      </c>
      <c r="H115">
        <v>7386</v>
      </c>
    </row>
    <row r="116" spans="5:8">
      <c r="E116" t="s">
        <v>424</v>
      </c>
      <c r="G116">
        <v>86</v>
      </c>
      <c r="H116">
        <v>71</v>
      </c>
    </row>
    <row r="117" spans="5:8">
      <c r="E117" t="s">
        <v>425</v>
      </c>
      <c r="F117">
        <v>6136</v>
      </c>
      <c r="G117">
        <v>3500</v>
      </c>
      <c r="H117">
        <v>3699</v>
      </c>
    </row>
    <row r="118" spans="5:8">
      <c r="E118" t="s">
        <v>426</v>
      </c>
      <c r="F118">
        <v>250</v>
      </c>
      <c r="G118">
        <v>827</v>
      </c>
      <c r="H118">
        <v>1063</v>
      </c>
    </row>
    <row r="119" spans="5:8">
      <c r="E119" t="s">
        <v>427</v>
      </c>
      <c r="F119">
        <v>5437</v>
      </c>
      <c r="G119">
        <v>0</v>
      </c>
      <c r="H119">
        <v>5529</v>
      </c>
    </row>
    <row r="120" spans="5:8">
      <c r="E120" t="s">
        <v>428</v>
      </c>
      <c r="F120">
        <v>437</v>
      </c>
      <c r="G120">
        <v>20</v>
      </c>
      <c r="H120">
        <v>279</v>
      </c>
    </row>
    <row r="121" spans="5:8">
      <c r="E121" t="s">
        <v>429</v>
      </c>
      <c r="F121">
        <v>200</v>
      </c>
      <c r="G121">
        <v>103</v>
      </c>
      <c r="H121">
        <v>147</v>
      </c>
    </row>
    <row r="122" spans="5:8">
      <c r="E122" t="s">
        <v>430</v>
      </c>
      <c r="F122">
        <v>50</v>
      </c>
      <c r="G122">
        <v>0</v>
      </c>
      <c r="H122">
        <v>48</v>
      </c>
    </row>
    <row r="123" spans="5:8">
      <c r="E123" t="s">
        <v>431</v>
      </c>
      <c r="F123">
        <v>55</v>
      </c>
      <c r="G123">
        <v>24</v>
      </c>
      <c r="H123">
        <v>49</v>
      </c>
    </row>
    <row r="124" spans="5:8">
      <c r="E124" t="s">
        <v>432</v>
      </c>
      <c r="G124">
        <v>1970</v>
      </c>
      <c r="H124">
        <v>2120</v>
      </c>
    </row>
    <row r="125" spans="5:8">
      <c r="E125" t="s">
        <v>140</v>
      </c>
      <c r="F125">
        <v>8650</v>
      </c>
      <c r="G125">
        <v>5937</v>
      </c>
      <c r="H125">
        <v>5219</v>
      </c>
    </row>
    <row r="126" spans="5:8">
      <c r="E126" t="s">
        <v>433</v>
      </c>
      <c r="F126">
        <v>212</v>
      </c>
      <c r="G126">
        <v>0</v>
      </c>
      <c r="H126">
        <v>335</v>
      </c>
    </row>
    <row r="127" spans="5:8">
      <c r="E127" t="s">
        <v>434</v>
      </c>
      <c r="G127">
        <v>0</v>
      </c>
      <c r="H127">
        <v>0</v>
      </c>
    </row>
    <row r="128" spans="5:8">
      <c r="E128" t="s">
        <v>435</v>
      </c>
      <c r="F128">
        <v>3823</v>
      </c>
      <c r="G128">
        <v>4445</v>
      </c>
      <c r="H128">
        <v>3992</v>
      </c>
    </row>
    <row r="129" spans="5:8">
      <c r="E129" t="s">
        <v>436</v>
      </c>
      <c r="F129">
        <v>4300</v>
      </c>
      <c r="G129">
        <v>900</v>
      </c>
      <c r="H129">
        <v>667</v>
      </c>
    </row>
    <row r="130" spans="5:8">
      <c r="E130" t="s">
        <v>437</v>
      </c>
      <c r="F130">
        <v>115</v>
      </c>
      <c r="G130">
        <v>246</v>
      </c>
      <c r="H130">
        <v>157</v>
      </c>
    </row>
    <row r="131" spans="5:8">
      <c r="E131" t="s">
        <v>438</v>
      </c>
      <c r="G131">
        <v>0</v>
      </c>
      <c r="H131">
        <v>0</v>
      </c>
    </row>
    <row r="132" spans="5:8">
      <c r="E132" t="s">
        <v>439</v>
      </c>
      <c r="G132">
        <v>0</v>
      </c>
      <c r="H132">
        <v>0</v>
      </c>
    </row>
    <row r="133" spans="5:8">
      <c r="E133" t="s">
        <v>440</v>
      </c>
      <c r="G133">
        <v>0</v>
      </c>
      <c r="H133">
        <v>0</v>
      </c>
    </row>
    <row r="134" spans="5:8">
      <c r="E134" t="s">
        <v>441</v>
      </c>
      <c r="G134">
        <v>0</v>
      </c>
      <c r="H134">
        <v>0</v>
      </c>
    </row>
    <row r="135" spans="5:8">
      <c r="E135" t="s">
        <v>442</v>
      </c>
      <c r="F135">
        <v>200</v>
      </c>
      <c r="G135">
        <v>68</v>
      </c>
      <c r="H135">
        <v>68</v>
      </c>
    </row>
    <row r="136" spans="5:8">
      <c r="E136" t="s">
        <v>443</v>
      </c>
      <c r="G136">
        <v>0</v>
      </c>
      <c r="H136">
        <v>0</v>
      </c>
    </row>
    <row r="137" spans="5:8">
      <c r="E137" t="s">
        <v>444</v>
      </c>
      <c r="G137">
        <v>0</v>
      </c>
      <c r="H137">
        <v>0</v>
      </c>
    </row>
    <row r="138" spans="5:8">
      <c r="E138" t="s">
        <v>445</v>
      </c>
      <c r="G138">
        <v>0</v>
      </c>
      <c r="H138">
        <v>0</v>
      </c>
    </row>
    <row r="139" spans="5:8">
      <c r="E139" t="s">
        <v>446</v>
      </c>
      <c r="G139">
        <v>0</v>
      </c>
      <c r="H139">
        <v>0</v>
      </c>
    </row>
    <row r="140" spans="5:8">
      <c r="E140" t="s">
        <v>447</v>
      </c>
      <c r="G140">
        <v>278</v>
      </c>
      <c r="H140">
        <v>0</v>
      </c>
    </row>
    <row r="141" spans="5:8">
      <c r="E141" t="s">
        <v>142</v>
      </c>
      <c r="F141">
        <v>9533</v>
      </c>
      <c r="G141">
        <v>16672</v>
      </c>
      <c r="H141">
        <v>13247</v>
      </c>
    </row>
    <row r="142" spans="5:8">
      <c r="E142" t="s">
        <v>448</v>
      </c>
      <c r="F142">
        <v>6157</v>
      </c>
      <c r="G142">
        <v>575</v>
      </c>
      <c r="H142">
        <v>2550</v>
      </c>
    </row>
    <row r="143" spans="5:8">
      <c r="E143" t="s">
        <v>449</v>
      </c>
      <c r="F143">
        <v>800</v>
      </c>
      <c r="G143">
        <v>2733</v>
      </c>
      <c r="H143">
        <v>1941</v>
      </c>
    </row>
    <row r="144" spans="5:8">
      <c r="E144" t="s">
        <v>450</v>
      </c>
      <c r="F144">
        <v>1416</v>
      </c>
      <c r="G144">
        <v>12629</v>
      </c>
      <c r="H144">
        <v>7193</v>
      </c>
    </row>
    <row r="145" spans="5:8">
      <c r="E145" t="s">
        <v>451</v>
      </c>
      <c r="F145">
        <v>1160</v>
      </c>
      <c r="G145">
        <v>735</v>
      </c>
      <c r="H145">
        <v>1562</v>
      </c>
    </row>
    <row r="146" spans="5:8">
      <c r="E146" t="s">
        <v>452</v>
      </c>
      <c r="G146">
        <v>0</v>
      </c>
      <c r="H146">
        <v>0</v>
      </c>
    </row>
    <row r="147" spans="5:8">
      <c r="E147" t="s">
        <v>453</v>
      </c>
      <c r="G147">
        <v>0</v>
      </c>
      <c r="H147">
        <v>0</v>
      </c>
    </row>
    <row r="148" spans="5:8">
      <c r="E148" t="s">
        <v>144</v>
      </c>
      <c r="F148">
        <v>25041</v>
      </c>
      <c r="G148">
        <v>54653</v>
      </c>
      <c r="H148">
        <v>74035</v>
      </c>
    </row>
    <row r="149" spans="5:8">
      <c r="E149" t="s">
        <v>454</v>
      </c>
      <c r="F149">
        <v>11941</v>
      </c>
      <c r="G149">
        <v>19542</v>
      </c>
      <c r="H149">
        <v>27309</v>
      </c>
    </row>
    <row r="150" spans="5:8">
      <c r="E150" t="s">
        <v>455</v>
      </c>
      <c r="F150">
        <v>4329</v>
      </c>
      <c r="G150">
        <v>1613</v>
      </c>
      <c r="H150">
        <v>8098</v>
      </c>
    </row>
    <row r="151" spans="5:8">
      <c r="E151" t="s">
        <v>456</v>
      </c>
      <c r="F151">
        <v>2365</v>
      </c>
      <c r="G151">
        <v>22511</v>
      </c>
      <c r="H151">
        <v>24713</v>
      </c>
    </row>
    <row r="152" spans="5:8">
      <c r="E152" t="s">
        <v>457</v>
      </c>
      <c r="F152">
        <v>1730</v>
      </c>
      <c r="G152">
        <v>4322</v>
      </c>
      <c r="H152">
        <v>5622</v>
      </c>
    </row>
    <row r="153" spans="5:8">
      <c r="E153" t="s">
        <v>458</v>
      </c>
      <c r="F153">
        <v>4676</v>
      </c>
      <c r="G153">
        <v>3857</v>
      </c>
      <c r="H153">
        <v>5532</v>
      </c>
    </row>
    <row r="154" spans="5:8">
      <c r="E154" t="s">
        <v>459</v>
      </c>
      <c r="G154">
        <v>836</v>
      </c>
      <c r="H154">
        <v>729</v>
      </c>
    </row>
    <row r="155" spans="5:8">
      <c r="E155" t="s">
        <v>460</v>
      </c>
      <c r="G155">
        <v>0</v>
      </c>
      <c r="H155">
        <v>0</v>
      </c>
    </row>
    <row r="156" spans="5:8">
      <c r="E156" t="s">
        <v>461</v>
      </c>
      <c r="G156">
        <v>1972</v>
      </c>
      <c r="H156">
        <v>2032</v>
      </c>
    </row>
    <row r="157" spans="5:8">
      <c r="E157" t="s">
        <v>146</v>
      </c>
      <c r="F157">
        <v>7415</v>
      </c>
      <c r="G157">
        <v>12024</v>
      </c>
      <c r="H157">
        <v>12803</v>
      </c>
    </row>
    <row r="158" spans="5:8">
      <c r="E158" t="s">
        <v>462</v>
      </c>
      <c r="F158">
        <v>5415</v>
      </c>
      <c r="G158">
        <v>8716</v>
      </c>
      <c r="H158">
        <v>12478</v>
      </c>
    </row>
    <row r="159" spans="5:8">
      <c r="E159" t="s">
        <v>463</v>
      </c>
      <c r="G159">
        <v>0</v>
      </c>
      <c r="H159">
        <v>0</v>
      </c>
    </row>
    <row r="160" spans="5:8">
      <c r="E160" t="s">
        <v>464</v>
      </c>
      <c r="G160">
        <v>0</v>
      </c>
      <c r="H160">
        <v>0</v>
      </c>
    </row>
    <row r="161" spans="5:8">
      <c r="E161" t="s">
        <v>465</v>
      </c>
      <c r="G161">
        <v>0</v>
      </c>
      <c r="H161">
        <v>0</v>
      </c>
    </row>
    <row r="162" spans="5:8">
      <c r="E162" t="s">
        <v>466</v>
      </c>
      <c r="G162">
        <v>0</v>
      </c>
      <c r="H162">
        <v>0</v>
      </c>
    </row>
    <row r="163" spans="5:8">
      <c r="E163" t="s">
        <v>467</v>
      </c>
      <c r="F163">
        <v>2000</v>
      </c>
      <c r="G163">
        <v>2991</v>
      </c>
      <c r="H163">
        <v>9</v>
      </c>
    </row>
    <row r="164" spans="5:8">
      <c r="E164" t="s">
        <v>468</v>
      </c>
      <c r="G164">
        <v>317</v>
      </c>
      <c r="H164">
        <v>317</v>
      </c>
    </row>
    <row r="165" spans="5:8">
      <c r="E165" t="s">
        <v>148</v>
      </c>
      <c r="F165">
        <v>18710</v>
      </c>
      <c r="G165">
        <v>1365</v>
      </c>
      <c r="H165">
        <v>3053</v>
      </c>
    </row>
    <row r="166" spans="5:8">
      <c r="E166" t="s">
        <v>469</v>
      </c>
      <c r="F166">
        <v>180</v>
      </c>
      <c r="G166">
        <v>0</v>
      </c>
      <c r="H166">
        <v>180</v>
      </c>
    </row>
    <row r="167" spans="5:8">
      <c r="E167" t="s">
        <v>470</v>
      </c>
      <c r="F167">
        <v>4188</v>
      </c>
      <c r="G167">
        <v>35</v>
      </c>
      <c r="H167">
        <v>895</v>
      </c>
    </row>
    <row r="168" spans="5:8">
      <c r="E168" t="s">
        <v>471</v>
      </c>
      <c r="G168">
        <v>0</v>
      </c>
      <c r="H168">
        <v>0</v>
      </c>
    </row>
    <row r="169" spans="5:8">
      <c r="E169" t="s">
        <v>472</v>
      </c>
      <c r="G169">
        <v>0</v>
      </c>
      <c r="H169">
        <v>0</v>
      </c>
    </row>
    <row r="170" spans="5:8">
      <c r="E170" t="s">
        <v>473</v>
      </c>
      <c r="F170">
        <v>300</v>
      </c>
      <c r="G170">
        <v>0</v>
      </c>
      <c r="H170">
        <v>0</v>
      </c>
    </row>
    <row r="171" spans="5:8">
      <c r="E171" t="s">
        <v>474</v>
      </c>
      <c r="F171">
        <v>14042</v>
      </c>
      <c r="G171">
        <v>580</v>
      </c>
      <c r="H171">
        <v>1242</v>
      </c>
    </row>
    <row r="172" spans="5:8">
      <c r="E172" t="s">
        <v>475</v>
      </c>
      <c r="G172">
        <v>750</v>
      </c>
      <c r="H172">
        <v>737</v>
      </c>
    </row>
    <row r="173" spans="5:8">
      <c r="E173" t="s">
        <v>150</v>
      </c>
      <c r="F173">
        <v>577</v>
      </c>
      <c r="G173">
        <v>690</v>
      </c>
      <c r="H173">
        <v>1447</v>
      </c>
    </row>
    <row r="174" spans="5:8">
      <c r="E174" t="s">
        <v>476</v>
      </c>
      <c r="F174">
        <v>577</v>
      </c>
      <c r="G174">
        <v>301</v>
      </c>
      <c r="H174">
        <v>762</v>
      </c>
    </row>
    <row r="175" spans="5:8">
      <c r="E175" t="s">
        <v>477</v>
      </c>
      <c r="G175">
        <v>229</v>
      </c>
      <c r="H175">
        <v>276</v>
      </c>
    </row>
    <row r="176" spans="5:8">
      <c r="E176" t="s">
        <v>478</v>
      </c>
      <c r="G176">
        <v>160</v>
      </c>
      <c r="H176">
        <v>409</v>
      </c>
    </row>
    <row r="177" spans="5:8">
      <c r="E177" t="s">
        <v>152</v>
      </c>
      <c r="F177">
        <v>0</v>
      </c>
      <c r="G177">
        <v>400</v>
      </c>
      <c r="H177">
        <v>520</v>
      </c>
    </row>
    <row r="178" spans="5:8">
      <c r="E178" t="s">
        <v>479</v>
      </c>
      <c r="G178">
        <v>0</v>
      </c>
      <c r="H178">
        <v>0</v>
      </c>
    </row>
    <row r="179" spans="5:8">
      <c r="E179" t="s">
        <v>480</v>
      </c>
      <c r="G179">
        <v>0</v>
      </c>
      <c r="H179">
        <v>0</v>
      </c>
    </row>
    <row r="180" spans="5:8">
      <c r="E180" t="s">
        <v>481</v>
      </c>
      <c r="G180">
        <v>0</v>
      </c>
      <c r="H180">
        <v>0</v>
      </c>
    </row>
    <row r="181" spans="5:8">
      <c r="E181" t="s">
        <v>482</v>
      </c>
      <c r="G181">
        <v>0</v>
      </c>
      <c r="H181">
        <v>0</v>
      </c>
    </row>
    <row r="182" spans="5:8">
      <c r="E182" t="s">
        <v>483</v>
      </c>
      <c r="G182">
        <v>400</v>
      </c>
      <c r="H182">
        <v>520</v>
      </c>
    </row>
    <row r="183" spans="5:8">
      <c r="E183" t="s">
        <v>154</v>
      </c>
      <c r="F183">
        <v>0</v>
      </c>
      <c r="G183">
        <v>0</v>
      </c>
      <c r="H183">
        <v>0</v>
      </c>
    </row>
    <row r="184" spans="5:8">
      <c r="E184" t="s">
        <v>484</v>
      </c>
      <c r="G184">
        <v>0</v>
      </c>
      <c r="H184">
        <v>0</v>
      </c>
    </row>
    <row r="185" spans="5:8">
      <c r="E185" t="s">
        <v>485</v>
      </c>
      <c r="G185">
        <v>0</v>
      </c>
      <c r="H185">
        <v>0</v>
      </c>
    </row>
    <row r="186" spans="5:8">
      <c r="E186" t="s">
        <v>486</v>
      </c>
      <c r="G186">
        <v>0</v>
      </c>
      <c r="H186">
        <v>0</v>
      </c>
    </row>
    <row r="187" spans="5:8">
      <c r="E187" t="s">
        <v>487</v>
      </c>
      <c r="G187">
        <v>0</v>
      </c>
      <c r="H187">
        <v>0</v>
      </c>
    </row>
    <row r="188" spans="5:8">
      <c r="E188" t="s">
        <v>488</v>
      </c>
      <c r="G188">
        <v>0</v>
      </c>
      <c r="H188">
        <v>0</v>
      </c>
    </row>
    <row r="189" spans="5:8">
      <c r="E189" t="s">
        <v>489</v>
      </c>
      <c r="G189">
        <v>0</v>
      </c>
      <c r="H189">
        <v>0</v>
      </c>
    </row>
    <row r="190" spans="5:8">
      <c r="E190" t="s">
        <v>490</v>
      </c>
      <c r="G190">
        <v>0</v>
      </c>
      <c r="H190">
        <v>0</v>
      </c>
    </row>
    <row r="191" spans="5:8">
      <c r="E191" t="s">
        <v>491</v>
      </c>
      <c r="G191">
        <v>0</v>
      </c>
      <c r="H191">
        <v>0</v>
      </c>
    </row>
    <row r="192" spans="5:8">
      <c r="E192" t="s">
        <v>492</v>
      </c>
      <c r="G192">
        <v>0</v>
      </c>
      <c r="H192">
        <v>0</v>
      </c>
    </row>
    <row r="193" spans="5:8">
      <c r="E193" t="s">
        <v>155</v>
      </c>
      <c r="F193">
        <v>7230</v>
      </c>
      <c r="G193">
        <v>25964</v>
      </c>
      <c r="H193">
        <v>23146</v>
      </c>
    </row>
    <row r="194" spans="5:8">
      <c r="E194" t="s">
        <v>493</v>
      </c>
      <c r="F194">
        <v>6974</v>
      </c>
      <c r="G194">
        <v>23317</v>
      </c>
      <c r="H194">
        <v>18600</v>
      </c>
    </row>
    <row r="195" spans="5:8">
      <c r="E195" t="s">
        <v>494</v>
      </c>
      <c r="F195">
        <v>56</v>
      </c>
      <c r="G195">
        <v>0</v>
      </c>
      <c r="H195">
        <v>56</v>
      </c>
    </row>
    <row r="196" spans="5:8">
      <c r="E196" t="s">
        <v>495</v>
      </c>
      <c r="F196">
        <v>200</v>
      </c>
      <c r="G196">
        <v>2647</v>
      </c>
      <c r="H196">
        <v>4490</v>
      </c>
    </row>
    <row r="197" spans="5:8">
      <c r="E197" t="s">
        <v>157</v>
      </c>
      <c r="F197">
        <v>700</v>
      </c>
      <c r="G197">
        <v>4288</v>
      </c>
      <c r="H197">
        <v>2516</v>
      </c>
    </row>
    <row r="198" spans="5:8">
      <c r="E198" t="s">
        <v>496</v>
      </c>
      <c r="F198">
        <v>700</v>
      </c>
      <c r="G198">
        <v>4288</v>
      </c>
      <c r="H198">
        <v>2516</v>
      </c>
    </row>
    <row r="199" spans="5:8">
      <c r="E199" t="s">
        <v>497</v>
      </c>
      <c r="G199">
        <v>0</v>
      </c>
      <c r="H199">
        <v>0</v>
      </c>
    </row>
    <row r="200" spans="5:8">
      <c r="E200" t="s">
        <v>498</v>
      </c>
      <c r="G200">
        <v>0</v>
      </c>
      <c r="H200">
        <v>0</v>
      </c>
    </row>
    <row r="201" spans="5:8">
      <c r="E201" t="s">
        <v>158</v>
      </c>
      <c r="F201">
        <v>2180</v>
      </c>
      <c r="G201">
        <v>2</v>
      </c>
      <c r="H201">
        <v>1002</v>
      </c>
    </row>
    <row r="202" spans="5:8">
      <c r="E202" t="s">
        <v>499</v>
      </c>
      <c r="F202">
        <v>1580</v>
      </c>
      <c r="G202">
        <v>2</v>
      </c>
      <c r="H202">
        <v>1002</v>
      </c>
    </row>
    <row r="203" spans="5:8">
      <c r="E203" t="s">
        <v>500</v>
      </c>
      <c r="G203">
        <v>0</v>
      </c>
      <c r="H203">
        <v>0</v>
      </c>
    </row>
    <row r="204" spans="5:8">
      <c r="E204" t="s">
        <v>501</v>
      </c>
      <c r="F204">
        <v>600</v>
      </c>
      <c r="G204">
        <v>0</v>
      </c>
      <c r="H204">
        <v>0</v>
      </c>
    </row>
    <row r="205" spans="5:8">
      <c r="E205" t="s">
        <v>502</v>
      </c>
      <c r="G205">
        <v>0</v>
      </c>
      <c r="H205">
        <v>0</v>
      </c>
    </row>
    <row r="206" spans="5:8">
      <c r="E206" t="s">
        <v>159</v>
      </c>
      <c r="F206">
        <v>3507</v>
      </c>
      <c r="G206">
        <v>847</v>
      </c>
      <c r="H206">
        <v>2535</v>
      </c>
    </row>
    <row r="207" spans="5:8">
      <c r="E207" t="s">
        <v>503</v>
      </c>
      <c r="F207">
        <v>1576</v>
      </c>
      <c r="G207">
        <v>256</v>
      </c>
      <c r="H207">
        <v>1092</v>
      </c>
    </row>
    <row r="208" spans="5:8">
      <c r="E208" t="s">
        <v>504</v>
      </c>
      <c r="F208">
        <v>1287</v>
      </c>
      <c r="G208">
        <v>216</v>
      </c>
      <c r="H208">
        <v>738</v>
      </c>
    </row>
    <row r="209" spans="5:8">
      <c r="E209" t="s">
        <v>505</v>
      </c>
      <c r="G209">
        <v>24</v>
      </c>
      <c r="H209">
        <v>0</v>
      </c>
    </row>
    <row r="210" spans="5:8">
      <c r="E210" t="s">
        <v>506</v>
      </c>
      <c r="F210">
        <v>95</v>
      </c>
      <c r="G210">
        <v>1</v>
      </c>
      <c r="H210">
        <v>65</v>
      </c>
    </row>
    <row r="211" spans="5:8">
      <c r="E211" t="s">
        <v>507</v>
      </c>
      <c r="F211">
        <v>123</v>
      </c>
      <c r="G211">
        <v>4</v>
      </c>
      <c r="H211">
        <v>126</v>
      </c>
    </row>
    <row r="212" spans="5:8">
      <c r="E212" t="s">
        <v>508</v>
      </c>
      <c r="F212">
        <v>200</v>
      </c>
      <c r="G212">
        <v>318</v>
      </c>
      <c r="H212">
        <v>318</v>
      </c>
    </row>
    <row r="213" spans="5:8">
      <c r="E213" t="s">
        <v>509</v>
      </c>
      <c r="F213">
        <v>226</v>
      </c>
      <c r="G213">
        <v>0</v>
      </c>
      <c r="H213">
        <v>0</v>
      </c>
    </row>
    <row r="214" spans="5:8">
      <c r="E214" t="s">
        <v>510</v>
      </c>
      <c r="G214">
        <v>28</v>
      </c>
      <c r="H214">
        <v>196</v>
      </c>
    </row>
    <row r="215" spans="5:8">
      <c r="E215" t="s">
        <v>160</v>
      </c>
      <c r="F215">
        <v>5000</v>
      </c>
      <c r="G215">
        <v>0</v>
      </c>
      <c r="H215">
        <v>0</v>
      </c>
    </row>
    <row r="216" spans="5:8">
      <c r="E216" t="s">
        <v>161</v>
      </c>
      <c r="F216">
        <v>0</v>
      </c>
      <c r="G216">
        <v>121</v>
      </c>
      <c r="H216">
        <v>201</v>
      </c>
    </row>
    <row r="217" spans="5:8">
      <c r="E217" t="s">
        <v>511</v>
      </c>
      <c r="G217">
        <v>0</v>
      </c>
      <c r="H217">
        <v>0</v>
      </c>
    </row>
    <row r="218" spans="5:8">
      <c r="E218" t="s">
        <v>512</v>
      </c>
      <c r="G218">
        <v>121</v>
      </c>
      <c r="H218">
        <v>201</v>
      </c>
    </row>
    <row r="219" spans="5:8">
      <c r="E219" t="s">
        <v>162</v>
      </c>
      <c r="F219">
        <v>16144</v>
      </c>
      <c r="G219">
        <v>0</v>
      </c>
      <c r="H219">
        <v>16154</v>
      </c>
    </row>
    <row r="220" spans="5:8">
      <c r="E220" t="s">
        <v>513</v>
      </c>
      <c r="F220">
        <v>16144</v>
      </c>
      <c r="G220">
        <v>0</v>
      </c>
      <c r="H220">
        <v>16154</v>
      </c>
    </row>
    <row r="221" spans="5:8">
      <c r="E221" t="s">
        <v>514</v>
      </c>
      <c r="G221">
        <v>0</v>
      </c>
      <c r="H221">
        <v>0</v>
      </c>
    </row>
    <row r="222" spans="5:8">
      <c r="E222" t="s">
        <v>515</v>
      </c>
      <c r="G222">
        <v>0</v>
      </c>
      <c r="H222">
        <v>0</v>
      </c>
    </row>
    <row r="223" spans="5:8">
      <c r="E223" t="s">
        <v>164</v>
      </c>
      <c r="F223">
        <v>100</v>
      </c>
      <c r="G223">
        <v>0</v>
      </c>
      <c r="H223">
        <v>110</v>
      </c>
    </row>
    <row r="224" spans="5:8">
      <c r="E224" t="s">
        <v>516</v>
      </c>
      <c r="G224">
        <v>0</v>
      </c>
      <c r="H224">
        <v>110</v>
      </c>
    </row>
    <row r="225" spans="5:8">
      <c r="E225" t="s">
        <v>517</v>
      </c>
      <c r="G225">
        <v>0</v>
      </c>
      <c r="H225">
        <v>0</v>
      </c>
    </row>
    <row r="226" spans="5:8">
      <c r="E226" t="s">
        <v>518</v>
      </c>
      <c r="F226">
        <v>100</v>
      </c>
      <c r="G226">
        <v>0</v>
      </c>
      <c r="H226">
        <v>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雨林木风网络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总表</vt:lpstr>
      <vt:lpstr>支出调整计算</vt:lpstr>
      <vt:lpstr>专项调整</vt:lpstr>
      <vt:lpstr>收入调整 （对比)</vt:lpstr>
      <vt:lpstr>收入调整</vt:lpstr>
      <vt:lpstr>收入调整 (2)</vt:lpstr>
      <vt:lpstr>收入调整 (3)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WwW.YlmF.CoM</dc:creator>
  <cp:lastModifiedBy>Administrator</cp:lastModifiedBy>
  <dcterms:created xsi:type="dcterms:W3CDTF">2007-01-16T02:10:00Z</dcterms:created>
  <cp:lastPrinted>2021-10-22T00:59:00Z</cp:lastPrinted>
  <dcterms:modified xsi:type="dcterms:W3CDTF">2024-01-22T02:09:55Z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2052-11.1.0.12608</vt:lpwstr>
  </property>
  <property fmtid="{D5CDD505-2E9C-101B-9397-08002B2CF9AE}" pid="3" name="ICV">
    <vt:lpwstr>C9547740622E499F9BDD895E20D22D4F</vt:lpwstr>
  </property>
</Properties>
</file>