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2022年增长" sheetId="37" r:id="rId1"/>
    <sheet name="2022年执行 " sheetId="39" r:id="rId2"/>
    <sheet name="2021年执行" sheetId="38" r:id="rId3"/>
    <sheet name="2020年增长" sheetId="36" r:id="rId4"/>
    <sheet name="2020年执行" sheetId="35" r:id="rId5"/>
    <sheet name="2019年增长" sheetId="34" r:id="rId6"/>
    <sheet name="2019年执行" sheetId="33" r:id="rId7"/>
    <sheet name="2018年增长" sheetId="32" r:id="rId8"/>
    <sheet name="2018年执行 " sheetId="31" r:id="rId9"/>
    <sheet name="2017年增长" sheetId="30" r:id="rId10"/>
    <sheet name="2017年执行" sheetId="29" r:id="rId11"/>
    <sheet name="2016年增长" sheetId="26" r:id="rId12"/>
    <sheet name="2016年执行" sheetId="25" r:id="rId13"/>
    <sheet name="2015年增长" sheetId="24" r:id="rId14"/>
    <sheet name="2015年执行" sheetId="23" r:id="rId15"/>
    <sheet name="2014年增长" sheetId="19" r:id="rId16"/>
    <sheet name="2014年执行" sheetId="20" r:id="rId17"/>
    <sheet name="2013年增长" sheetId="28" r:id="rId18"/>
    <sheet name="2013年执行" sheetId="27" r:id="rId19"/>
    <sheet name="2012年增长" sheetId="21" r:id="rId20"/>
    <sheet name="2012年执行" sheetId="22" r:id="rId21"/>
    <sheet name="2011年增长" sheetId="16" r:id="rId22"/>
    <sheet name="2011年执行" sheetId="18" r:id="rId23"/>
    <sheet name="2010年增长" sheetId="13" r:id="rId24"/>
    <sheet name="2010年执行" sheetId="12" r:id="rId25"/>
    <sheet name="09年执行" sheetId="10" r:id="rId26"/>
    <sheet name="09年增长" sheetId="7" r:id="rId27"/>
    <sheet name="Sheet2" sheetId="2" r:id="rId28"/>
  </sheets>
  <definedNames>
    <definedName name="_xlnm.Print_Area" localSheetId="3">'2020年增长'!$A$1:$O$46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M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出让金27427万元，新增建设用地6万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出让金27903万元，上级收回5780万元，国有资本经营收益11万，还债券本金3086万元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出让金27427万元，新增建设用地6万</t>
        </r>
      </text>
    </comment>
    <comment ref="C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出让金27903万元，上级收回5780万元，国有资本经营收益11万，还债券本金3086万元</t>
        </r>
      </text>
    </comment>
  </commentList>
</comments>
</file>

<file path=xl/sharedStrings.xml><?xml version="1.0" encoding="utf-8"?>
<sst xmlns="http://schemas.openxmlformats.org/spreadsheetml/2006/main" count="3930" uniqueCount="522">
  <si>
    <t>永春县二0二二年度财政收支(决算数)比上年增（减）情况</t>
  </si>
  <si>
    <t>编制单位：永春县财政局</t>
  </si>
  <si>
    <t xml:space="preserve">       单位：万元</t>
  </si>
  <si>
    <t>一般公共预算收入</t>
  </si>
  <si>
    <t>一般公共预算支出</t>
  </si>
  <si>
    <t>政府性基金预算收入</t>
  </si>
  <si>
    <t>科 目 名 称</t>
  </si>
  <si>
    <t>2021年</t>
  </si>
  <si>
    <t>2022年</t>
  </si>
  <si>
    <t>增收</t>
  </si>
  <si>
    <t>增长%</t>
  </si>
  <si>
    <t>增支</t>
  </si>
  <si>
    <t>一、一般公共预算收入</t>
  </si>
  <si>
    <t>一、一般公共预算支出</t>
  </si>
  <si>
    <t>一、政府性基金收入</t>
  </si>
  <si>
    <t>(一)税收收入</t>
  </si>
  <si>
    <t xml:space="preserve"> (一)一般公共服务支出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</si>
  <si>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</si>
  <si>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增值税</t>
    </r>
  </si>
  <si>
    <t xml:space="preserve"> (二)国防支出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</si>
  <si>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、城市基础设施配套费收入</t>
    </r>
  </si>
  <si>
    <r>
      <rPr>
        <sz val="12"/>
        <rFont val="宋体"/>
        <charset val="134"/>
      </rPr>
      <t xml:space="preserve"> 　　增值税(</t>
    </r>
    <r>
      <rPr>
        <sz val="12"/>
        <rFont val="宋体"/>
        <charset val="134"/>
      </rPr>
      <t>50</t>
    </r>
    <r>
      <rPr>
        <sz val="12"/>
        <rFont val="宋体"/>
        <charset val="134"/>
      </rPr>
      <t>%)</t>
    </r>
  </si>
  <si>
    <t xml:space="preserve"> (三)公共安全支出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</si>
  <si>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</si>
  <si>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营</t>
    </r>
    <r>
      <rPr>
        <sz val="12"/>
        <rFont val="宋体"/>
        <charset val="134"/>
      </rPr>
      <t>改增值税(</t>
    </r>
    <r>
      <rPr>
        <sz val="12"/>
        <rFont val="宋体"/>
        <charset val="134"/>
      </rPr>
      <t>50%</t>
    </r>
    <r>
      <rPr>
        <sz val="12"/>
        <rFont val="宋体"/>
        <charset val="134"/>
      </rPr>
      <t>)</t>
    </r>
  </si>
  <si>
    <t xml:space="preserve"> (四)教育支出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</si>
  <si>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</si>
  <si>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营业税（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</si>
  <si>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 xml:space="preserve"> (五)科学技术支出</t>
  </si>
  <si>
    <t xml:space="preserve"> 5、其他政府性基金收入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</si>
  <si>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企业所得税(40%)</t>
    </r>
  </si>
  <si>
    <t xml:space="preserve"> (六)文化旅游体育与传媒支出</t>
  </si>
  <si>
    <t>二、补助收入(专项补助)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</si>
  <si>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个人所得税(40%)</t>
    </r>
  </si>
  <si>
    <t xml:space="preserve"> (七)社会保障和就业支出</t>
  </si>
  <si>
    <t>三、上年结余收入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</si>
  <si>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资源税</t>
    </r>
  </si>
  <si>
    <t xml:space="preserve"> (八)卫生健康支出</t>
  </si>
  <si>
    <t>四、新增地方政府专项债券收入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</si>
  <si>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城市维护建设税</t>
    </r>
  </si>
  <si>
    <t xml:space="preserve"> (九)节能环保支出</t>
  </si>
  <si>
    <t>基金收入总计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</si>
  <si>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房产税</t>
    </r>
  </si>
  <si>
    <t xml:space="preserve"> (十)城乡社区支出</t>
  </si>
  <si>
    <t>政府性基金预算支出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</si>
  <si>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印花税</t>
    </r>
  </si>
  <si>
    <t xml:space="preserve"> (十一)农林水支出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</si>
  <si>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城镇土地使用税</t>
    </r>
  </si>
  <si>
    <t xml:space="preserve"> (十二)交通运输支出</t>
  </si>
  <si>
    <t>一、政府性基金支出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</si>
  <si>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土地增值税</t>
    </r>
  </si>
  <si>
    <t xml:space="preserve"> (十三)资源勘探信息等支出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</si>
  <si>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大中型水库移民后期扶持基金支出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</si>
  <si>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车船税</t>
    </r>
  </si>
  <si>
    <t xml:space="preserve"> (十四)商业服务业等支出</t>
  </si>
  <si>
    <t xml:space="preserve"> 2、国有土地使用权出让收入安排的支出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</si>
  <si>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12、环保税</t>
    </r>
  </si>
  <si>
    <t>（十五）金融支出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</si>
  <si>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3、文化旅游体育与传媒支出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</si>
  <si>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耕地占用税</t>
    </r>
  </si>
  <si>
    <t>(十六)自然资源海洋气象等支出</t>
  </si>
  <si>
    <r>
      <rPr>
        <sz val="12"/>
        <rFont val="宋体"/>
        <charset val="134"/>
      </rPr>
      <t xml:space="preserve"> 4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</si>
  <si>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契税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</si>
  <si>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(十七)住房保障支出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</si>
  <si>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</t>
    </r>
    <r>
      <rPr>
        <sz val="12"/>
        <rFont val="宋体"/>
        <charset val="134"/>
      </rPr>
      <t>污水处理费支出</t>
    </r>
  </si>
  <si>
    <t xml:space="preserve"> 15、其他</t>
  </si>
  <si>
    <t xml:space="preserve"> (十八)粮油物资储备支出</t>
  </si>
  <si>
    <t xml:space="preserve"> 6、大中型水库移民后期扶持基金支出</t>
  </si>
  <si>
    <t>(二)非税收入</t>
  </si>
  <si>
    <t>(十九)灾害防治及应急管理支出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</si>
  <si>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7</t>
    </r>
    <r>
      <rPr>
        <sz val="11"/>
        <rFont val="宋体"/>
        <charset val="134"/>
      </rPr>
      <t>、国家重大水利工程建设基金支出</t>
    </r>
  </si>
  <si>
    <t xml:space="preserve"> 1、专项收入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</si>
  <si>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(二十)债务付息及发行费用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</si>
  <si>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彩票公益金安排的支出</t>
    </r>
  </si>
  <si>
    <t xml:space="preserve">  其中：教育费附加收入</t>
  </si>
  <si>
    <t xml:space="preserve"> (二十一)其他支出</t>
  </si>
  <si>
    <t xml:space="preserve"> 9、其他政府性基金支出</t>
  </si>
  <si>
    <t xml:space="preserve"> 2、行政性收费收入</t>
  </si>
  <si>
    <t>二、上解上级支出</t>
  </si>
  <si>
    <t xml:space="preserve"> 10、债务付息及发行费支出</t>
  </si>
  <si>
    <t xml:space="preserve"> 3、罚没收入</t>
  </si>
  <si>
    <t xml:space="preserve">  1、原体制上解</t>
  </si>
  <si>
    <t>二、调出资金</t>
  </si>
  <si>
    <t xml:space="preserve"> 4、国有资本经营收入</t>
  </si>
  <si>
    <t xml:space="preserve">  2、专项上解</t>
  </si>
  <si>
    <t>三、上解支出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</si>
  <si>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5、国有资源有偿使用收入</t>
    </r>
  </si>
  <si>
    <t>三、债务还本支出</t>
  </si>
  <si>
    <t>四、年终结余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</si>
  <si>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6、政府住房基金收入</t>
    </r>
  </si>
  <si>
    <t>四、安排预算稳定调节基金</t>
  </si>
  <si>
    <t>基金支出总计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</si>
  <si>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、其他收入</t>
    </r>
  </si>
  <si>
    <t>五、援助其他地区支出</t>
  </si>
  <si>
    <t>二、上级补助收入</t>
  </si>
  <si>
    <t>六、调出资金</t>
  </si>
  <si>
    <t>　1、返还性收入</t>
  </si>
  <si>
    <t>七、结转结余数</t>
  </si>
  <si>
    <t>国有资本经营预算收支</t>
  </si>
  <si>
    <t>　2、一般性转移支付收入</t>
  </si>
  <si>
    <t xml:space="preserve">    其中：结转使用数</t>
  </si>
  <si>
    <t>增减</t>
  </si>
  <si>
    <t>　3、专项转移支付收入</t>
  </si>
  <si>
    <t xml:space="preserve">     支出总计</t>
  </si>
  <si>
    <t>国有资本经营预算收入</t>
  </si>
  <si>
    <t>三、上年结转使用数</t>
  </si>
  <si>
    <r>
      <rPr>
        <b/>
        <sz val="12"/>
        <rFont val="华文新魏"/>
        <charset val="134"/>
      </rPr>
      <t>附：</t>
    </r>
    <r>
      <rPr>
        <b/>
        <sz val="12"/>
        <rFont val="宋体"/>
        <charset val="134"/>
      </rPr>
      <t>一般公共预算总收入</t>
    </r>
  </si>
  <si>
    <t>国有资本经营预算上级补助</t>
  </si>
  <si>
    <t>四、债务转贷收入</t>
  </si>
  <si>
    <t>国有资本经营预算支出</t>
  </si>
  <si>
    <t xml:space="preserve">五、调入预算稳定调节基金 </t>
  </si>
  <si>
    <t>国有资本经营预算年终结余</t>
  </si>
  <si>
    <t>六、调入资金</t>
  </si>
  <si>
    <t>二、上划中央收入</t>
  </si>
  <si>
    <t>调出资金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</si>
  <si>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增值税（含营业税，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</si>
  <si>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>社会保险基金预算收支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</si>
  <si>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(二)</t>
    </r>
    <r>
      <rPr>
        <sz val="12"/>
        <rFont val="宋体"/>
        <charset val="134"/>
      </rPr>
      <t>企业所得税（60%）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</si>
  <si>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(三)</t>
    </r>
    <r>
      <rPr>
        <sz val="12"/>
        <rFont val="宋体"/>
        <charset val="134"/>
      </rPr>
      <t>个人所得税（60%）</t>
    </r>
  </si>
  <si>
    <t>社会保险基金预算收入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</si>
  <si>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(四）</t>
    </r>
    <r>
      <rPr>
        <sz val="12"/>
        <rFont val="宋体"/>
        <charset val="134"/>
      </rPr>
      <t>消费税(100%)</t>
    </r>
  </si>
  <si>
    <t>社会保险基金预算支出</t>
  </si>
  <si>
    <r>
      <rPr>
        <sz val="12"/>
        <rFont val="宋体"/>
        <charset val="134"/>
      </rPr>
      <t xml:space="preserve"> (五）车辆购置税（</t>
    </r>
    <r>
      <rPr>
        <sz val="12"/>
        <rFont val="宋体"/>
        <charset val="134"/>
      </rPr>
      <t>10</t>
    </r>
    <r>
      <rPr>
        <sz val="12"/>
        <rFont val="宋体"/>
        <charset val="134"/>
      </rPr>
      <t>0%）</t>
    </r>
  </si>
  <si>
    <t>本年收支结余</t>
  </si>
  <si>
    <t xml:space="preserve">    收入总计</t>
  </si>
  <si>
    <t>一般公共预算总收入</t>
  </si>
  <si>
    <t>年末滚存结余</t>
  </si>
  <si>
    <t>永春县2022年度财政收支决算（草案)</t>
  </si>
  <si>
    <t xml:space="preserve">    单位：万元</t>
  </si>
  <si>
    <t>年初预算</t>
  </si>
  <si>
    <t>调整预算</t>
  </si>
  <si>
    <t>完成数</t>
  </si>
  <si>
    <t>完成%</t>
  </si>
  <si>
    <t>一、基金预算收入</t>
  </si>
  <si>
    <t xml:space="preserve"> 1、国有土地使用权出让收入</t>
  </si>
  <si>
    <t xml:space="preserve"> 2、城市基础设施配套费收入</t>
  </si>
  <si>
    <r>
      <rPr>
        <sz val="12"/>
        <rFont val="宋体"/>
        <charset val="134"/>
      </rPr>
      <t xml:space="preserve"> 　　增值税(5</t>
    </r>
    <r>
      <rPr>
        <sz val="12"/>
        <rFont val="宋体"/>
        <charset val="134"/>
      </rPr>
      <t>0</t>
    </r>
    <r>
      <rPr>
        <sz val="12"/>
        <rFont val="宋体"/>
        <charset val="134"/>
      </rPr>
      <t>%)</t>
    </r>
  </si>
  <si>
    <t xml:space="preserve"> 3、污水处理费收入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</si>
  <si>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营改</t>
    </r>
    <r>
      <rPr>
        <sz val="12"/>
        <rFont val="宋体"/>
        <charset val="134"/>
      </rPr>
      <t>增值税(</t>
    </r>
    <r>
      <rPr>
        <sz val="12"/>
        <rFont val="宋体"/>
        <charset val="134"/>
      </rPr>
      <t>50%</t>
    </r>
    <r>
      <rPr>
        <sz val="12"/>
        <rFont val="宋体"/>
        <charset val="134"/>
      </rPr>
      <t>)</t>
    </r>
  </si>
  <si>
    <t xml:space="preserve"> 4、福利彩票公益金收入</t>
  </si>
  <si>
    <t xml:space="preserve"> 5、体育彩票公益金收入</t>
  </si>
  <si>
    <t xml:space="preserve"> 6、其他政府性基金收入</t>
  </si>
  <si>
    <t xml:space="preserve"> 7、专项债务对应项目收入</t>
  </si>
  <si>
    <t>三、上年结转收入</t>
  </si>
  <si>
    <t>一、基金预算支出</t>
  </si>
  <si>
    <t>1、文化旅游体育与传媒支出</t>
  </si>
  <si>
    <t>2、社会保障和就业支出</t>
  </si>
  <si>
    <t>3、国有土地使用权出让收入安排的支出</t>
  </si>
  <si>
    <t>4、城市基础设施配套费安排的支出</t>
  </si>
  <si>
    <t>5、污水处理费安排的支出</t>
  </si>
  <si>
    <t>6、农林水支出</t>
  </si>
  <si>
    <t xml:space="preserve"> 其中：教育费附加</t>
  </si>
  <si>
    <t>7、彩票公益金安排的支出</t>
  </si>
  <si>
    <t xml:space="preserve">8、其他政府性基金安排的支出  </t>
  </si>
  <si>
    <t>9、债务付息支出</t>
  </si>
  <si>
    <t xml:space="preserve"> 4、国有资产经营收益</t>
  </si>
  <si>
    <t>10、债务发行费支出</t>
  </si>
  <si>
    <t>三、上解上级支出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</si>
  <si>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、其他收入</t>
    </r>
  </si>
  <si>
    <t>四、年终结转结余</t>
  </si>
  <si>
    <t>　3、专项性转移支付收入</t>
  </si>
  <si>
    <t>国有资本经营预算上级补助收入</t>
  </si>
  <si>
    <t>国有资本经营预算上年结余收入</t>
  </si>
  <si>
    <t>国有资本经营预算调出资金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</si>
  <si>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</si>
  <si>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 xml:space="preserve"> (二)企业所得税（60%）</t>
  </si>
  <si>
    <t xml:space="preserve">  其中：保险费收入</t>
  </si>
  <si>
    <t xml:space="preserve">       财政补贴收入</t>
  </si>
  <si>
    <t xml:space="preserve"> (五）车辆购置税（100%）</t>
  </si>
  <si>
    <t>永春县二0二一年度财政收支决算（草案)</t>
  </si>
  <si>
    <t xml:space="preserve"> 6、专项债务对应项目收入</t>
  </si>
  <si>
    <t xml:space="preserve"> 6、抗疫特别国债安排的支出</t>
  </si>
  <si>
    <t xml:space="preserve"> 9、其他政府性基金安排的支出  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</si>
  <si>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债务付息支出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</si>
  <si>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债务发行费支出</t>
    </r>
  </si>
  <si>
    <t>三、债务还本</t>
  </si>
  <si>
    <t>国有资本经营预算年终结转</t>
  </si>
  <si>
    <t>永春县二0二0年度财政收支(决算数)比上年增（减）情况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</si>
  <si>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</si>
  <si>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</t>
    </r>
  </si>
  <si>
    <t>2020年</t>
  </si>
  <si>
    <t>四、调入资金</t>
  </si>
  <si>
    <t>五、新增地方政府专项债券收入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</si>
  <si>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、大中型水库库区基金</t>
    </r>
    <r>
      <rPr>
        <sz val="12"/>
        <rFont val="宋体"/>
        <charset val="134"/>
      </rPr>
      <t>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</si>
  <si>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9、棚户区改造专项债券收入安排支出</t>
    </r>
  </si>
  <si>
    <r>
      <rPr>
        <sz val="12"/>
        <rFont val="宋体"/>
        <charset val="134"/>
      </rPr>
      <t xml:space="preserve"> 10</t>
    </r>
    <r>
      <rPr>
        <sz val="12"/>
        <rFont val="宋体"/>
        <charset val="134"/>
      </rPr>
      <t>、其他政府性基金支出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</si>
  <si>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11、抗疫特别国债安排的支出</t>
    </r>
  </si>
  <si>
    <t xml:space="preserve"> 12、债务付息及发行费支出</t>
  </si>
  <si>
    <t>四、债务还本</t>
  </si>
  <si>
    <t>五、年终结余</t>
  </si>
  <si>
    <t>2019年</t>
  </si>
  <si>
    <t>永春县二0二0年度财政收支决算（草案)</t>
  </si>
  <si>
    <t>五、调入资金</t>
  </si>
  <si>
    <t>五、年终结转结余</t>
  </si>
  <si>
    <t>永春县二0一九年度财政收支(决算数)比上年增长情况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</si>
  <si>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</si>
  <si>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、其他政府性基金收入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</si>
  <si>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、债务付息支出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</si>
  <si>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、债务发行费支出</t>
    </r>
  </si>
  <si>
    <t>六、结余数</t>
  </si>
  <si>
    <t>2018年</t>
  </si>
  <si>
    <r>
      <rPr>
        <sz val="12"/>
        <rFont val="宋体"/>
        <charset val="134"/>
      </rPr>
      <t>注：201</t>
    </r>
    <r>
      <rPr>
        <sz val="12"/>
        <rFont val="宋体"/>
        <charset val="134"/>
      </rPr>
      <t>9</t>
    </r>
    <r>
      <rPr>
        <sz val="12"/>
        <rFont val="宋体"/>
        <charset val="134"/>
      </rPr>
      <t>年税性收入</t>
    </r>
    <r>
      <rPr>
        <sz val="12"/>
        <rFont val="宋体"/>
        <charset val="134"/>
      </rPr>
      <t>160369</t>
    </r>
    <r>
      <rPr>
        <sz val="12"/>
        <rFont val="宋体"/>
        <charset val="134"/>
      </rPr>
      <t>万元，占总收入</t>
    </r>
    <r>
      <rPr>
        <sz val="12"/>
        <rFont val="宋体"/>
        <charset val="134"/>
      </rPr>
      <t>82.68</t>
    </r>
    <r>
      <rPr>
        <sz val="12"/>
        <rFont val="宋体"/>
        <charset val="134"/>
      </rPr>
      <t>%；2018年税性收入169617万元，占总收入83.92%。</t>
    </r>
  </si>
  <si>
    <t>永春县二0一九年度财政收支决算（草案)</t>
  </si>
  <si>
    <t xml:space="preserve"> 9、棚户区改造专项债券收入安排的支出  </t>
  </si>
  <si>
    <t>永春县二0一八年度财政收支(决算数)比上年增长情况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</si>
  <si>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</si>
  <si>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</t>
    </r>
    <r>
      <rPr>
        <sz val="12"/>
        <rFont val="宋体"/>
        <charset val="134"/>
      </rPr>
      <t>7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</si>
  <si>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</t>
    </r>
    <r>
      <rPr>
        <sz val="12"/>
        <rFont val="宋体"/>
        <charset val="134"/>
      </rPr>
      <t>8</t>
    </r>
    <r>
      <rPr>
        <sz val="12"/>
        <rFont val="宋体"/>
        <charset val="134"/>
      </rPr>
      <t>年</t>
    </r>
  </si>
  <si>
    <t xml:space="preserve"> (六)文化体育与传媒支出</t>
  </si>
  <si>
    <t xml:space="preserve"> (八)医疗卫生与计生支出</t>
  </si>
  <si>
    <t xml:space="preserve"> (十六)国土海洋气象等支出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</si>
  <si>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3、国家电影事业发展及旅游专项支出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</si>
  <si>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(十九)债务付息及发行费用</t>
    </r>
  </si>
  <si>
    <t xml:space="preserve"> (二十)其他支出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</si>
  <si>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、小型水库移民扶助基金支出</t>
    </r>
  </si>
  <si>
    <t>注：2017年税性收入126008万元，占总收入75.97%；2018年税性收入169617万元，占总收入83.92%。</t>
  </si>
  <si>
    <t>永春县二0一八年度财政收支决算（草案)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</si>
  <si>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1、其他政府性基金收入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</si>
  <si>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</si>
  <si>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</si>
  <si>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5、福利彩票公益金收入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</si>
  <si>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体育彩票公益金收入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</si>
  <si>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国家电影事业发展专项资金支出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</si>
  <si>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其他政府性基金支出</t>
    </r>
  </si>
  <si>
    <t xml:space="preserve"> (五）营业税（50%）</t>
  </si>
  <si>
    <t xml:space="preserve"> (六）车辆购置税（100%）</t>
  </si>
  <si>
    <t>永春县二0一七年度财政收支(决算数)比上年增长情况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</si>
  <si>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016年</t>
    </r>
  </si>
  <si>
    <t xml:space="preserve"> (一)一般公共服务</t>
  </si>
  <si>
    <t xml:space="preserve"> (二)国防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</si>
  <si>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、城镇公用事业附加收入</t>
    </r>
  </si>
  <si>
    <t xml:space="preserve"> (三)公共安全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</si>
  <si>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3、城市基础设施配套费收入</t>
    </r>
  </si>
  <si>
    <t xml:space="preserve"> (四)教育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</si>
  <si>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4、彩票公益金收入</t>
    </r>
  </si>
  <si>
    <t xml:space="preserve"> (五)科学技术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</si>
  <si>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5、污水处理费收入</t>
    </r>
  </si>
  <si>
    <t xml:space="preserve"> (六)文化体育与传媒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</si>
  <si>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6、其他政府性基金收入</t>
    </r>
  </si>
  <si>
    <t xml:space="preserve"> (七)社会保障和就业</t>
  </si>
  <si>
    <t xml:space="preserve"> (八)医疗卫生与计划生育</t>
  </si>
  <si>
    <t xml:space="preserve"> (九)节能环保</t>
  </si>
  <si>
    <t xml:space="preserve"> (十)城乡社区</t>
  </si>
  <si>
    <t xml:space="preserve"> (十一)农林水</t>
  </si>
  <si>
    <t xml:space="preserve"> (十二)交通运输</t>
  </si>
  <si>
    <t xml:space="preserve"> (十三)资源勘探信息等</t>
  </si>
  <si>
    <t xml:space="preserve"> (十四)商业服务业等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</si>
  <si>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耕地占用税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</si>
  <si>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(十五)国土海洋气象等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</si>
  <si>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小型水库移民扶助基金支出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</si>
  <si>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契税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</si>
  <si>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(十六)住房保障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</si>
  <si>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国有土地使用权出让收入安排的支出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</si>
  <si>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(十七)粮油物资储备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</si>
  <si>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</si>
  <si>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(十八)债务付息及发行费用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</si>
  <si>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5、污水处理费支出</t>
    </r>
  </si>
  <si>
    <t xml:space="preserve"> (十九)其他支出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</si>
  <si>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旅游发展基金支出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</si>
  <si>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7、大中型水库库区基金支出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</si>
  <si>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新增建设用地有偿使用费安排的支出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</si>
  <si>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</si>
  <si>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债务付息及发行费用支出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</si>
  <si>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国家重大水利工程建设基金支出</t>
    </r>
  </si>
  <si>
    <t>五、结余数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</si>
  <si>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</si>
  <si>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其他政府性基金支出</t>
    </r>
  </si>
  <si>
    <t>二、上解及调出资金</t>
  </si>
  <si>
    <t>三、年终结余</t>
  </si>
  <si>
    <t>调入一般公共预算资金</t>
  </si>
  <si>
    <t>注：2016年税性收入121962万元，占总收入75.59%；2017年税性收入126008万元，占总收入75.97%。</t>
  </si>
  <si>
    <t>永春县二0一七年度财政收支决算（草案)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</si>
  <si>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1、城镇公用事业附加收入</t>
    </r>
  </si>
  <si>
    <t xml:space="preserve"> (八)医疗卫生</t>
  </si>
  <si>
    <t xml:space="preserve"> (十)城乡社区事务</t>
  </si>
  <si>
    <t xml:space="preserve"> (十一)农林水事务</t>
  </si>
  <si>
    <t xml:space="preserve"> (十三)资源勘探电力息等事务</t>
  </si>
  <si>
    <t xml:space="preserve"> (十四)商业服务业等事务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</si>
  <si>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(十五)国土资源气象等事务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</si>
  <si>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(十六)住房保障支出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</si>
  <si>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</si>
  <si>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(十七)粮油物资储备管理事务</t>
    </r>
  </si>
  <si>
    <t xml:space="preserve"> 4、小型水库移民扶助基金支出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</si>
  <si>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</si>
  <si>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</si>
  <si>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7、大中型水库库区基金</t>
    </r>
    <r>
      <rPr>
        <sz val="12"/>
        <rFont val="宋体"/>
        <charset val="134"/>
      </rPr>
      <t>支出</t>
    </r>
  </si>
  <si>
    <t xml:space="preserve"> 8、国家重大水利工程建设基金支出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</si>
  <si>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旅游发展基金支出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</si>
  <si>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</si>
  <si>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</si>
  <si>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债务付息支出</t>
    </r>
  </si>
  <si>
    <t>永春县二0一六年度财政收支(决算数)比上年增长情况</t>
  </si>
  <si>
    <t>基金预算收入</t>
  </si>
  <si>
    <t>2015年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</si>
  <si>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</si>
  <si>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1、政府住房基金金收入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</si>
  <si>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国有土地使用权出让收入</t>
    </r>
  </si>
  <si>
    <t xml:space="preserve"> 　　增值税(25%)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</si>
  <si>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、城镇公用事业附加收入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</si>
  <si>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改征增值税(</t>
    </r>
    <r>
      <rPr>
        <sz val="12"/>
        <rFont val="宋体"/>
        <charset val="134"/>
      </rPr>
      <t>100%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</si>
  <si>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</si>
  <si>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营业税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</si>
  <si>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</si>
  <si>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</si>
  <si>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7、污水处理费收入</t>
    </r>
  </si>
  <si>
    <t xml:space="preserve"> 8、其他政府性基金</t>
  </si>
  <si>
    <t>基金预算支出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</si>
  <si>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大中型水库移民后期扶持基金支出等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</si>
  <si>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政府住房基金及水土保持补偿费支出</t>
    </r>
  </si>
  <si>
    <t xml:space="preserve">  其中： 排污费收入</t>
  </si>
  <si>
    <t>　　水资源费收入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</si>
  <si>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新型墙体及散装水泥专项支出</t>
    </r>
  </si>
  <si>
    <t xml:space="preserve">    教育费附加收入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</si>
  <si>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</si>
  <si>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(四</t>
    </r>
    <r>
      <rPr>
        <sz val="12"/>
        <rFont val="宋体"/>
        <charset val="134"/>
      </rPr>
      <t>消费税(100%)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</si>
  <si>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(五)</t>
    </r>
    <r>
      <rPr>
        <sz val="12"/>
        <rFont val="宋体"/>
        <charset val="134"/>
      </rPr>
      <t>营业税</t>
    </r>
  </si>
  <si>
    <t>注：2015年税性收入114438万元，占总收入73.12%；2016年税性收入121962万元，占总收入75.59%。</t>
  </si>
  <si>
    <t>永春县二0一六年度财政收支决算（草案)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</si>
  <si>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7、价格调节基金收入</t>
    </r>
  </si>
  <si>
    <t xml:space="preserve"> 4、新增建设用地有偿使用费安排的支出</t>
  </si>
  <si>
    <t xml:space="preserve"> 其中：排污费收入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</si>
  <si>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</si>
  <si>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债务付息支出</t>
    </r>
  </si>
  <si>
    <t xml:space="preserve"> (五）营业税</t>
  </si>
  <si>
    <t>永春县二0一五年度财政收支(决算数)比上年增长情况</t>
  </si>
  <si>
    <t>公共财政预算收入</t>
  </si>
  <si>
    <t>公共财政预算支出</t>
  </si>
  <si>
    <t>2014年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</si>
  <si>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014年</t>
    </r>
  </si>
  <si>
    <t>一、公共财政收入</t>
  </si>
  <si>
    <t>一、公共财政支出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</si>
  <si>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残疾人就业保障金收入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</si>
  <si>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2、政府住房基金金收入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</si>
  <si>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</si>
  <si>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、城镇公用事业附加收入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</si>
  <si>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</si>
  <si>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</si>
  <si>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</si>
  <si>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</si>
  <si>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</si>
  <si>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0、其他政府性基金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</si>
  <si>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地方教育附加安排的支出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</si>
  <si>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文化事业建设费安排的支出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</si>
  <si>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大中型水库移民后期扶持基金支出等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</si>
  <si>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残疾人就业保障金支出</t>
    </r>
  </si>
  <si>
    <t xml:space="preserve">    探矿权、采矿权价款收入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</si>
  <si>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政府住房基金支出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</si>
  <si>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国有土地使用权出让收入安排的支出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</si>
  <si>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</si>
  <si>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</si>
  <si>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新型墙体及散装水泥专项支出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</si>
  <si>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新增建设用地有偿使用费安排的支出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</si>
  <si>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</si>
  <si>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12、森林植被及</t>
    </r>
    <r>
      <rPr>
        <sz val="12"/>
        <rFont val="宋体"/>
        <charset val="134"/>
      </rPr>
      <t>育林基金支出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</si>
  <si>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债务发行费用支出</t>
    </r>
  </si>
  <si>
    <r>
      <rPr>
        <b/>
        <sz val="12"/>
        <rFont val="华文新魏"/>
        <charset val="134"/>
      </rPr>
      <t>附：</t>
    </r>
    <r>
      <rPr>
        <b/>
        <sz val="12"/>
        <rFont val="宋体"/>
        <charset val="134"/>
      </rPr>
      <t>财政总收入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</si>
  <si>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地方水利建设及库区基金支出</t>
    </r>
  </si>
  <si>
    <r>
      <rPr>
        <sz val="12"/>
        <rFont val="宋体"/>
        <charset val="134"/>
      </rPr>
      <t xml:space="preserve"> 1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、水土保持补偿费安排的支出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</si>
  <si>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国家重大水利工程建设基金支出</t>
    </r>
  </si>
  <si>
    <t>二、上划中央“三税”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</si>
  <si>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</si>
  <si>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增值税（75%）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</si>
  <si>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18、</t>
    </r>
    <r>
      <rPr>
        <sz val="12"/>
        <rFont val="宋体"/>
        <charset val="134"/>
      </rPr>
      <t>其他政府性基金支出</t>
    </r>
  </si>
  <si>
    <r>
      <rPr>
        <b/>
        <sz val="12"/>
        <color indexed="8"/>
        <rFont val="宋体"/>
        <charset val="134"/>
      </rPr>
      <t>财政总收入</t>
    </r>
    <r>
      <rPr>
        <sz val="12"/>
        <color indexed="8"/>
        <rFont val="宋体"/>
        <charset val="134"/>
      </rPr>
      <t>(不含基金)</t>
    </r>
  </si>
  <si>
    <t>注：2014年税性收入121641万元，占总收入73.83%；2015年税性收入114438万元，占总收入73.12%。</t>
  </si>
  <si>
    <t>永春县二0一五年度财政收支决算（草案)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</si>
  <si>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</si>
  <si>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</si>
  <si>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价格调节基金收入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</si>
  <si>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</si>
  <si>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</si>
  <si>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政府住房基金支出</t>
    </r>
  </si>
  <si>
    <t xml:space="preserve"> 2、大中型水库移民后期扶持基金支出等</t>
  </si>
  <si>
    <t xml:space="preserve"> 3、国有土地使用权出让收入安排的支出</t>
  </si>
  <si>
    <t xml:space="preserve"> 5、新增建设用地有偿使用费安排的支出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</si>
  <si>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</si>
  <si>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</si>
  <si>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8、新型墙体及</t>
    </r>
    <r>
      <rPr>
        <sz val="12"/>
        <rFont val="宋体"/>
        <charset val="134"/>
      </rPr>
      <t>散装水泥专项支出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</si>
  <si>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水土保持补偿费安排的支出</t>
    </r>
  </si>
  <si>
    <t xml:space="preserve"> </t>
  </si>
  <si>
    <t xml:space="preserve"> 10、国家重大水利工程建设基金支出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</si>
  <si>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</si>
  <si>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债务发行费支出</t>
    </r>
  </si>
  <si>
    <t>一、一般预算收入</t>
  </si>
  <si>
    <t>结转下年使用</t>
  </si>
  <si>
    <t>永春县二0一四年度财政收支(决算数)比上年增长情况</t>
  </si>
  <si>
    <t>2013年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</si>
  <si>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013年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</si>
  <si>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国有土地收益基金收入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</si>
  <si>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农业土地开发资金收入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</si>
  <si>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</si>
  <si>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</si>
  <si>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</si>
  <si>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</si>
  <si>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0、其他政府性基金(价格调节基金)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</si>
  <si>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(十五)金融监管等事务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</si>
  <si>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(十六)国土资源气象等事务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</si>
  <si>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(十八)粮油物资储备管理事务</t>
    </r>
  </si>
  <si>
    <t xml:space="preserve">    排污费收入</t>
  </si>
  <si>
    <t xml:space="preserve"> (十九)国债还本付息</t>
  </si>
  <si>
    <t>三、债券还本支出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</si>
  <si>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国有土地收益基金支出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</si>
  <si>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农业土地开发资金支出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</si>
  <si>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育林基金支出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</si>
  <si>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森林植被恢复费安排的支出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</si>
  <si>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中央水利建设基金支出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</si>
  <si>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15、</t>
    </r>
    <r>
      <rPr>
        <sz val="12"/>
        <rFont val="宋体"/>
        <charset val="134"/>
      </rPr>
      <t>地方水利建设基金支出</t>
    </r>
  </si>
  <si>
    <t>四、债券转贷收入</t>
  </si>
  <si>
    <r>
      <rPr>
        <sz val="12"/>
        <rFont val="宋体"/>
        <charset val="134"/>
      </rPr>
      <t xml:space="preserve"> 1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、大中型水库库区基金支出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</si>
  <si>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国家重大水利工程建设基金支出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</si>
  <si>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</si>
  <si>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19、新型墙体及</t>
    </r>
    <r>
      <rPr>
        <sz val="12"/>
        <rFont val="宋体"/>
        <charset val="134"/>
      </rPr>
      <t>其他政府性基金支出</t>
    </r>
  </si>
  <si>
    <t>二、上解支出</t>
  </si>
  <si>
    <t>注：2013年税性收入132650万元，占总收入74.47%；2014年税性收入121641万元，占总收入73.83%。</t>
  </si>
  <si>
    <t>永春县二0一四年度财政收支决算（草案)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</si>
  <si>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11、其他政府性基金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</si>
  <si>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(十八)国债还本付息</t>
    </r>
  </si>
  <si>
    <t xml:space="preserve"> 3、大中型水库移民后期扶持基金支出等</t>
  </si>
  <si>
    <t xml:space="preserve"> 6、国有土地使用权出让收入安排的支出</t>
  </si>
  <si>
    <t xml:space="preserve"> 10、新增建设用地有偿使用费安排的支出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</si>
  <si>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水土保持补偿费安排的支出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</si>
  <si>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</t>
    </r>
    <r>
      <rPr>
        <sz val="12"/>
        <rFont val="宋体"/>
        <charset val="134"/>
      </rPr>
      <t>其他政府性基金支出</t>
    </r>
  </si>
  <si>
    <t xml:space="preserve">                                                                                                                                                                     </t>
  </si>
  <si>
    <t>永春县二0一三年度财政收支(决算数)比上年增长情况</t>
  </si>
  <si>
    <t>2012年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</si>
  <si>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012年</t>
    </r>
  </si>
  <si>
    <t>永春县二0一三年度财政收支决算（草案)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</si>
  <si>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10、其他政府性基金（价格调节基金）</t>
    </r>
  </si>
  <si>
    <t>永春县二0一二年度财政收支(决算数)比上年增长情况</t>
  </si>
  <si>
    <t>2011年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</si>
  <si>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大中型水库移民后期扶持基金支出</t>
    </r>
  </si>
  <si>
    <r>
      <rPr>
        <sz val="10"/>
        <rFont val="Arial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国家重大水利工程建设基金支出</t>
    </r>
  </si>
  <si>
    <t>永春县二0一二年度财政收支决算（草案)</t>
  </si>
  <si>
    <t>四、结余数</t>
  </si>
  <si>
    <t>永春县二0一一年度财政收支决算数比上年增长情况统计表</t>
  </si>
  <si>
    <t xml:space="preserve">    　　　　单位：万元</t>
  </si>
  <si>
    <t>一般预算收入</t>
  </si>
  <si>
    <t>一般预算支出</t>
  </si>
  <si>
    <r>
      <rPr>
        <sz val="12"/>
        <rFont val="宋体"/>
        <charset val="134"/>
      </rPr>
      <t>10年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</si>
  <si>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1年</t>
    </r>
    <r>
      <rPr>
        <sz val="12"/>
        <rFont val="宋体"/>
        <charset val="134"/>
      </rPr>
      <t>完成数</t>
    </r>
  </si>
  <si>
    <t>一、一般预算支出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</si>
  <si>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增值税(25%)</t>
    </r>
  </si>
  <si>
    <t xml:space="preserve">  其中: 政府办及相关机构事务</t>
  </si>
  <si>
    <t xml:space="preserve">        共产党事务</t>
  </si>
  <si>
    <t xml:space="preserve"> 3、城镇公用事业附加收入</t>
  </si>
  <si>
    <t xml:space="preserve">        民主党派及工商联事务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</si>
  <si>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国有土地收益基金收入</t>
    </r>
  </si>
  <si>
    <t xml:space="preserve">        群众团体事务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</si>
  <si>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农业土地开发资金收入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</si>
  <si>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</si>
  <si>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</si>
  <si>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</t>
    </r>
    <r>
      <rPr>
        <sz val="12"/>
        <rFont val="宋体"/>
        <charset val="134"/>
      </rPr>
      <t>、森林植被恢复费</t>
    </r>
  </si>
  <si>
    <t xml:space="preserve"> 5、其他</t>
  </si>
  <si>
    <t>三、结余数</t>
  </si>
  <si>
    <t>永春县二0一一年度财政收支决算（草案)</t>
  </si>
  <si>
    <t>年初预算数</t>
  </si>
  <si>
    <t>调整预算数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</si>
  <si>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党委办及相关机构事务</t>
    </r>
  </si>
  <si>
    <t>永春县二0一0年度财政收支决算数比上年增长情况统计表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</si>
  <si>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9年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</si>
  <si>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0年</t>
    </r>
    <r>
      <rPr>
        <sz val="12"/>
        <rFont val="宋体"/>
        <charset val="134"/>
      </rPr>
      <t>完成数</t>
    </r>
  </si>
  <si>
    <t>(一)政府性基金收入</t>
  </si>
  <si>
    <t xml:space="preserve"> 2、土地出让金收入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</si>
  <si>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</si>
  <si>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育林基金</t>
    </r>
  </si>
  <si>
    <t>(二)社保基金收入</t>
  </si>
  <si>
    <t xml:space="preserve"> (九)环境保护</t>
  </si>
  <si>
    <t>(一)政府性基金支出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</si>
  <si>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用于社会福利的彩票公益金支出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</si>
  <si>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用于体育事业的彩票公益金支出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</si>
  <si>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地方教育附加支出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</si>
  <si>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文化事业建设费支出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</si>
  <si>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残疾人就业保障金支出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</si>
  <si>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政府住房基金支出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</si>
  <si>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国有土地使用权出让金支出</t>
    </r>
  </si>
  <si>
    <t xml:space="preserve"> (十八)其他支出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</si>
  <si>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城市公用事业附加支出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</si>
  <si>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国有土地收益基金支出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</si>
  <si>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农业土地开发资金支出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</si>
  <si>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新增建设用地土地有偿使用费支出</t>
    </r>
  </si>
  <si>
    <t xml:space="preserve">  3、其他上解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</si>
  <si>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森林植被恢复费支出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</si>
  <si>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16、</t>
    </r>
    <r>
      <rPr>
        <sz val="12"/>
        <rFont val="宋体"/>
        <charset val="134"/>
      </rPr>
      <t>大中型水库移民后期扶持基金支出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</si>
  <si>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城市基础设施配套费支出</t>
    </r>
  </si>
  <si>
    <t xml:space="preserve"> 18、大中型水库库区基金支出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</si>
  <si>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20、</t>
    </r>
    <r>
      <rPr>
        <sz val="12"/>
        <rFont val="宋体"/>
        <charset val="134"/>
      </rPr>
      <t>散装水泥专项资金支出</t>
    </r>
  </si>
  <si>
    <t>(二)社保基金支出</t>
  </si>
  <si>
    <t>永春县二0一0年度财政收支决算（草案)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</si>
  <si>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5、育林基金收入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</si>
  <si>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19、国家重大水利工程建设基金支出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</si>
  <si>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20、</t>
    </r>
    <r>
      <rPr>
        <sz val="12"/>
        <rFont val="宋体"/>
        <charset val="134"/>
      </rPr>
      <t>其他政府性基金支出</t>
    </r>
  </si>
  <si>
    <t>永春县二00九年度财政收支决算（草案)</t>
  </si>
  <si>
    <t xml:space="preserve"> (十三)采掘电力信息等事务</t>
  </si>
  <si>
    <t xml:space="preserve"> (十四)粮油物资储备管理等事务</t>
  </si>
  <si>
    <t xml:space="preserve">    公路运输管理费收入</t>
  </si>
  <si>
    <t xml:space="preserve"> (十五)其他支出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</si>
  <si>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散装水泥专项资金支出</t>
    </r>
  </si>
  <si>
    <t>　　注：08年年终基金结余2181万元，其中养路费结余85万元按上级要求已转入一般预算收入（其他收入），因此09年上年基金结余收入为：2181-85＝2096万元。</t>
  </si>
  <si>
    <t>永春县二00九年度财政收支决算数比上年增长情况统计表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</si>
  <si>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8年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</si>
  <si>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新增建设用地有偿使用费收入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</si>
  <si>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地方水利建设基金收入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</si>
  <si>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、养路费收入</t>
    </r>
  </si>
  <si>
    <t>支出功能分类</t>
  </si>
  <si>
    <t>06年决算数</t>
  </si>
  <si>
    <t>07年决算数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</si>
  <si>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</si>
  <si>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</si>
  <si>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</si>
  <si>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</si>
  <si>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</si>
  <si>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</si>
  <si>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</si>
  <si>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</si>
  <si>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九、医疗卫生</t>
  </si>
  <si>
    <t>十、环境保护</t>
  </si>
  <si>
    <t>十一、城乡社区事务</t>
  </si>
  <si>
    <t>十二、农林水事务</t>
  </si>
  <si>
    <t>十三、交通运输</t>
  </si>
  <si>
    <t>十四、工业商业金融等事务</t>
  </si>
  <si>
    <t>十五、其他支出</t>
  </si>
  <si>
    <t>本  年  支  出   小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</si>
</sst>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41">
    <font>
      <sz val="12"/>
      <name val="宋体"/>
      <charset val="134"/>
    </font>
    <font>
      <b/>
      <sz val="26"/>
      <name val="楷体_GB2312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华文新魏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2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18" fillId="7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12" applyNumberFormat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13">
    <xf numFmtId="0" fontId="0" fillId="0" borderId="0" xfId="0" applyAlignment="1">
      <alignment vertical="center"/>
    </xf>
    <xf numFmtId="0" fontId="0" fillId="0" borderId="1" xfId="50" applyFont="1" applyBorder="1" applyAlignment="1">
      <alignment vertical="center"/>
    </xf>
    <xf numFmtId="0" fontId="0" fillId="0" borderId="1" xfId="50" applyFont="1" applyFill="1" applyBorder="1" applyAlignment="1">
      <alignment horizontal="center" vertical="center"/>
    </xf>
    <xf numFmtId="3" fontId="0" fillId="0" borderId="1" xfId="50" applyNumberFormat="1" applyFont="1" applyBorder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10" fontId="0" fillId="0" borderId="1" xfId="50" applyNumberFormat="1" applyFont="1" applyBorder="1" applyAlignment="1">
      <alignment horizontal="center" vertical="center"/>
    </xf>
    <xf numFmtId="0" fontId="0" fillId="0" borderId="0" xfId="50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3" fillId="0" borderId="2" xfId="50" applyFont="1" applyBorder="1" applyAlignment="1">
      <alignment horizontal="center"/>
    </xf>
    <xf numFmtId="0" fontId="3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center"/>
    </xf>
    <xf numFmtId="0" fontId="4" fillId="0" borderId="2" xfId="50" applyFont="1" applyBorder="1" applyAlignment="1">
      <alignment horizontal="center"/>
    </xf>
    <xf numFmtId="0" fontId="4" fillId="0" borderId="3" xfId="50" applyFont="1" applyBorder="1" applyAlignment="1">
      <alignment horizontal="center"/>
    </xf>
    <xf numFmtId="0" fontId="2" fillId="0" borderId="1" xfId="50" applyFont="1" applyBorder="1" applyAlignment="1">
      <alignment horizontal="center"/>
    </xf>
    <xf numFmtId="0" fontId="0" fillId="0" borderId="1" xfId="50" applyFont="1" applyBorder="1" applyAlignment="1">
      <alignment horizontal="center"/>
    </xf>
    <xf numFmtId="0" fontId="5" fillId="0" borderId="1" xfId="50" applyFont="1" applyBorder="1" applyAlignment="1">
      <alignment horizontal="left"/>
    </xf>
    <xf numFmtId="176" fontId="5" fillId="0" borderId="1" xfId="50" applyNumberFormat="1" applyFont="1" applyBorder="1" applyAlignment="1">
      <alignment horizontal="center" vertical="center"/>
    </xf>
    <xf numFmtId="10" fontId="5" fillId="0" borderId="1" xfId="50" applyNumberFormat="1" applyFont="1" applyBorder="1" applyAlignment="1">
      <alignment horizontal="center" vertical="center"/>
    </xf>
    <xf numFmtId="177" fontId="5" fillId="0" borderId="1" xfId="50" applyNumberFormat="1" applyFont="1" applyBorder="1" applyAlignment="1" applyProtection="1">
      <alignment horizontal="center" vertical="center"/>
      <protection locked="0"/>
    </xf>
    <xf numFmtId="3" fontId="5" fillId="0" borderId="1" xfId="50" applyNumberFormat="1" applyFont="1" applyBorder="1" applyAlignment="1" applyProtection="1">
      <alignment horizontal="center" vertical="center"/>
      <protection locked="0"/>
    </xf>
    <xf numFmtId="0" fontId="5" fillId="0" borderId="1" xfId="50" applyFont="1" applyBorder="1" applyAlignment="1">
      <alignment vertical="center"/>
    </xf>
    <xf numFmtId="177" fontId="0" fillId="0" borderId="1" xfId="50" applyNumberFormat="1" applyFont="1" applyBorder="1" applyAlignment="1" applyProtection="1">
      <alignment horizontal="center" vertical="center"/>
      <protection locked="0"/>
    </xf>
    <xf numFmtId="3" fontId="0" fillId="0" borderId="1" xfId="50" applyNumberFormat="1" applyFont="1" applyBorder="1" applyAlignment="1" applyProtection="1">
      <alignment horizontal="center" vertical="center"/>
      <protection locked="0"/>
    </xf>
    <xf numFmtId="176" fontId="0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vertical="center"/>
    </xf>
    <xf numFmtId="3" fontId="5" fillId="0" borderId="1" xfId="50" applyNumberFormat="1" applyFont="1" applyBorder="1" applyAlignment="1" applyProtection="1">
      <alignment horizontal="left" vertical="center"/>
      <protection locked="0"/>
    </xf>
    <xf numFmtId="3" fontId="5" fillId="0" borderId="1" xfId="50" applyNumberFormat="1" applyFont="1" applyBorder="1" applyAlignment="1" applyProtection="1">
      <alignment horizontal="center" vertical="center"/>
    </xf>
    <xf numFmtId="10" fontId="5" fillId="0" borderId="1" xfId="50" applyNumberFormat="1" applyFont="1" applyBorder="1" applyAlignment="1">
      <alignment vertical="center"/>
    </xf>
    <xf numFmtId="10" fontId="0" fillId="0" borderId="1" xfId="50" applyNumberFormat="1" applyFont="1" applyBorder="1" applyAlignment="1">
      <alignment vertical="center"/>
    </xf>
    <xf numFmtId="0" fontId="7" fillId="0" borderId="2" xfId="50" applyFont="1" applyBorder="1" applyAlignment="1">
      <alignment horizontal="center"/>
    </xf>
    <xf numFmtId="0" fontId="7" fillId="0" borderId="3" xfId="50" applyFont="1" applyBorder="1" applyAlignment="1">
      <alignment horizontal="center"/>
    </xf>
    <xf numFmtId="176" fontId="5" fillId="0" borderId="1" xfId="50" applyNumberFormat="1" applyFont="1" applyBorder="1" applyAlignment="1">
      <alignment vertical="center"/>
    </xf>
    <xf numFmtId="10" fontId="5" fillId="0" borderId="1" xfId="50" applyNumberFormat="1" applyFont="1" applyFill="1" applyBorder="1" applyAlignment="1">
      <alignment vertical="center"/>
    </xf>
    <xf numFmtId="0" fontId="5" fillId="0" borderId="4" xfId="50" applyFont="1" applyBorder="1" applyAlignment="1">
      <alignment horizontal="left"/>
    </xf>
    <xf numFmtId="0" fontId="0" fillId="0" borderId="4" xfId="50" applyFont="1" applyBorder="1" applyAlignment="1">
      <alignment horizontal="left"/>
    </xf>
    <xf numFmtId="0" fontId="8" fillId="0" borderId="4" xfId="50" applyFont="1" applyFill="1" applyBorder="1" applyAlignment="1" applyProtection="1">
      <alignment horizontal="center" vertical="center"/>
    </xf>
    <xf numFmtId="0" fontId="0" fillId="0" borderId="0" xfId="50" applyFont="1" applyFill="1" applyBorder="1" applyAlignment="1">
      <alignment vertical="center"/>
    </xf>
    <xf numFmtId="3" fontId="0" fillId="0" borderId="0" xfId="50" applyNumberFormat="1" applyFont="1" applyAlignment="1">
      <alignment vertical="center"/>
    </xf>
    <xf numFmtId="0" fontId="2" fillId="0" borderId="0" xfId="50" applyFont="1" applyAlignment="1">
      <alignment horizontal="center" vertical="center"/>
    </xf>
    <xf numFmtId="0" fontId="4" fillId="0" borderId="4" xfId="50" applyFont="1" applyBorder="1" applyAlignment="1">
      <alignment horizontal="center"/>
    </xf>
    <xf numFmtId="177" fontId="8" fillId="0" borderId="1" xfId="50" applyNumberFormat="1" applyFont="1" applyBorder="1" applyAlignment="1" applyProtection="1">
      <alignment horizontal="center" vertical="center"/>
    </xf>
    <xf numFmtId="0" fontId="0" fillId="0" borderId="1" xfId="50" applyFont="1" applyFill="1" applyBorder="1" applyAlignment="1">
      <alignment horizontal="left" vertical="center"/>
    </xf>
    <xf numFmtId="177" fontId="9" fillId="0" borderId="1" xfId="50" applyNumberFormat="1" applyFont="1" applyBorder="1" applyAlignment="1" applyProtection="1">
      <alignment horizontal="center" vertical="center"/>
    </xf>
    <xf numFmtId="177" fontId="8" fillId="0" borderId="1" xfId="50" applyNumberFormat="1" applyFont="1" applyFill="1" applyBorder="1" applyAlignment="1" applyProtection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left" vertical="center"/>
    </xf>
    <xf numFmtId="0" fontId="5" fillId="0" borderId="1" xfId="50" applyFont="1" applyBorder="1" applyAlignment="1">
      <alignment horizontal="center"/>
    </xf>
    <xf numFmtId="0" fontId="7" fillId="0" borderId="4" xfId="50" applyFont="1" applyBorder="1" applyAlignment="1">
      <alignment horizontal="center"/>
    </xf>
    <xf numFmtId="0" fontId="4" fillId="0" borderId="1" xfId="50" applyFont="1" applyBorder="1" applyAlignment="1">
      <alignment horizontal="center"/>
    </xf>
    <xf numFmtId="176" fontId="5" fillId="0" borderId="1" xfId="50" applyNumberFormat="1" applyFont="1" applyBorder="1" applyAlignment="1" applyProtection="1">
      <alignment horizontal="center" vertical="center"/>
      <protection locked="0"/>
    </xf>
    <xf numFmtId="177" fontId="0" fillId="0" borderId="1" xfId="50" applyNumberFormat="1" applyFont="1" applyBorder="1" applyAlignment="1">
      <alignment horizontal="center" vertical="center"/>
    </xf>
    <xf numFmtId="177" fontId="5" fillId="0" borderId="1" xfId="50" applyNumberFormat="1" applyFont="1" applyBorder="1" applyAlignment="1">
      <alignment horizontal="center" vertical="center"/>
    </xf>
    <xf numFmtId="10" fontId="5" fillId="0" borderId="1" xfId="50" applyNumberFormat="1" applyFont="1" applyFill="1" applyBorder="1" applyAlignment="1">
      <alignment horizontal="center" vertical="center"/>
    </xf>
    <xf numFmtId="0" fontId="0" fillId="0" borderId="0" xfId="50" applyFont="1" applyFill="1" applyBorder="1" applyAlignment="1">
      <alignment horizontal="left"/>
    </xf>
    <xf numFmtId="10" fontId="0" fillId="0" borderId="2" xfId="50" applyNumberFormat="1" applyFont="1" applyBorder="1" applyAlignment="1">
      <alignment horizontal="center" vertical="center"/>
    </xf>
    <xf numFmtId="176" fontId="0" fillId="0" borderId="1" xfId="50" applyNumberFormat="1" applyFont="1" applyBorder="1" applyAlignment="1">
      <alignment horizontal="center"/>
    </xf>
    <xf numFmtId="0" fontId="0" fillId="0" borderId="5" xfId="50" applyFont="1" applyFill="1" applyBorder="1" applyAlignment="1">
      <alignment horizontal="center" vertical="center"/>
    </xf>
    <xf numFmtId="0" fontId="0" fillId="0" borderId="1" xfId="50" applyFont="1" applyBorder="1" applyAlignment="1">
      <alignment horizontal="left"/>
    </xf>
    <xf numFmtId="0" fontId="5" fillId="0" borderId="1" xfId="50" applyFont="1" applyFill="1" applyBorder="1" applyAlignment="1">
      <alignment horizontal="left" vertical="center"/>
    </xf>
    <xf numFmtId="10" fontId="0" fillId="0" borderId="4" xfId="50" applyNumberFormat="1" applyFont="1" applyBorder="1" applyAlignment="1">
      <alignment horizontal="center" vertical="center"/>
    </xf>
    <xf numFmtId="10" fontId="0" fillId="0" borderId="3" xfId="50" applyNumberFormat="1" applyFont="1" applyBorder="1" applyAlignment="1">
      <alignment horizontal="center" vertical="center"/>
    </xf>
    <xf numFmtId="0" fontId="10" fillId="0" borderId="0" xfId="50" applyFont="1"/>
    <xf numFmtId="0" fontId="10" fillId="0" borderId="0" xfId="50" applyFont="1" applyAlignment="1">
      <alignment horizontal="center" vertical="center"/>
    </xf>
    <xf numFmtId="0" fontId="11" fillId="0" borderId="0" xfId="50" applyFont="1" applyAlignment="1">
      <alignment horizontal="center" vertical="center"/>
    </xf>
    <xf numFmtId="0" fontId="2" fillId="0" borderId="0" xfId="50" applyFont="1"/>
    <xf numFmtId="0" fontId="5" fillId="0" borderId="1" xfId="50" applyFont="1" applyBorder="1"/>
    <xf numFmtId="0" fontId="0" fillId="0" borderId="1" xfId="50" applyFont="1" applyBorder="1"/>
    <xf numFmtId="177" fontId="0" fillId="0" borderId="1" xfId="50" applyNumberFormat="1" applyFont="1" applyBorder="1" applyAlignment="1">
      <alignment horizontal="center"/>
    </xf>
    <xf numFmtId="177" fontId="5" fillId="0" borderId="1" xfId="50" applyNumberFormat="1" applyFont="1" applyBorder="1" applyAlignment="1" applyProtection="1">
      <alignment horizontal="center" vertical="center"/>
    </xf>
    <xf numFmtId="0" fontId="6" fillId="0" borderId="1" xfId="50" applyFont="1" applyBorder="1"/>
    <xf numFmtId="177" fontId="0" fillId="0" borderId="1" xfId="5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/>
    </xf>
    <xf numFmtId="10" fontId="5" fillId="0" borderId="1" xfId="50" applyNumberFormat="1" applyFont="1" applyBorder="1"/>
    <xf numFmtId="10" fontId="0" fillId="0" borderId="1" xfId="50" applyNumberFormat="1" applyFont="1" applyBorder="1"/>
    <xf numFmtId="177" fontId="5" fillId="0" borderId="1" xfId="50" applyNumberFormat="1" applyFont="1" applyBorder="1"/>
    <xf numFmtId="10" fontId="5" fillId="0" borderId="1" xfId="50" applyNumberFormat="1" applyFont="1" applyFill="1" applyBorder="1"/>
    <xf numFmtId="177" fontId="0" fillId="0" borderId="1" xfId="50" applyNumberFormat="1" applyFont="1" applyBorder="1"/>
    <xf numFmtId="0" fontId="0" fillId="0" borderId="0" xfId="50" applyFont="1" applyFill="1" applyBorder="1"/>
    <xf numFmtId="3" fontId="10" fillId="0" borderId="0" xfId="50" applyNumberFormat="1" applyFont="1"/>
    <xf numFmtId="10" fontId="0" fillId="0" borderId="6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left" vertical="center"/>
    </xf>
    <xf numFmtId="0" fontId="10" fillId="0" borderId="1" xfId="50" applyFont="1" applyBorder="1" applyAlignment="1">
      <alignment horizontal="center"/>
    </xf>
    <xf numFmtId="0" fontId="10" fillId="0" borderId="1" xfId="50" applyFont="1" applyBorder="1" applyAlignment="1">
      <alignment horizontal="center" vertical="center"/>
    </xf>
    <xf numFmtId="177" fontId="5" fillId="0" borderId="1" xfId="50" applyNumberFormat="1" applyFont="1" applyBorder="1" applyAlignment="1">
      <alignment vertical="center"/>
    </xf>
    <xf numFmtId="177" fontId="0" fillId="0" borderId="1" xfId="50" applyNumberFormat="1" applyFont="1" applyBorder="1" applyAlignment="1">
      <alignment vertical="center"/>
    </xf>
    <xf numFmtId="10" fontId="12" fillId="0" borderId="1" xfId="50" applyNumberFormat="1" applyFont="1" applyFill="1" applyBorder="1" applyAlignment="1">
      <alignment vertical="center"/>
    </xf>
    <xf numFmtId="177" fontId="13" fillId="0" borderId="1" xfId="50" applyNumberFormat="1" applyFont="1" applyBorder="1" applyAlignment="1">
      <alignment horizontal="center" vertical="center"/>
    </xf>
    <xf numFmtId="177" fontId="13" fillId="0" borderId="1" xfId="50" applyNumberFormat="1" applyFont="1" applyBorder="1" applyAlignment="1">
      <alignment vertical="center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5" fillId="0" borderId="7" xfId="50" applyFont="1" applyBorder="1" applyAlignment="1">
      <alignment horizontal="center" vertical="center" wrapText="1"/>
    </xf>
    <xf numFmtId="10" fontId="13" fillId="0" borderId="1" xfId="50" applyNumberFormat="1" applyFont="1" applyBorder="1" applyAlignment="1">
      <alignment horizontal="center" vertical="center"/>
    </xf>
    <xf numFmtId="10" fontId="15" fillId="0" borderId="1" xfId="50" applyNumberFormat="1" applyFont="1" applyBorder="1" applyAlignment="1">
      <alignment horizontal="center" vertical="center"/>
    </xf>
    <xf numFmtId="1" fontId="0" fillId="0" borderId="1" xfId="50" applyNumberFormat="1" applyFont="1" applyBorder="1" applyAlignment="1">
      <alignment horizontal="center" vertical="center"/>
    </xf>
    <xf numFmtId="177" fontId="16" fillId="0" borderId="1" xfId="50" applyNumberFormat="1" applyFont="1" applyBorder="1" applyAlignment="1">
      <alignment horizontal="center" vertical="center"/>
    </xf>
    <xf numFmtId="177" fontId="15" fillId="0" borderId="1" xfId="50" applyNumberFormat="1" applyFont="1" applyBorder="1" applyAlignment="1">
      <alignment horizontal="center" vertical="center"/>
    </xf>
    <xf numFmtId="0" fontId="0" fillId="0" borderId="4" xfId="50" applyFont="1" applyBorder="1" applyAlignment="1">
      <alignment vertical="center"/>
    </xf>
    <xf numFmtId="10" fontId="12" fillId="0" borderId="1" xfId="50" applyNumberFormat="1" applyFont="1" applyBorder="1" applyAlignment="1">
      <alignment horizontal="center" vertical="center"/>
    </xf>
    <xf numFmtId="0" fontId="0" fillId="0" borderId="7" xfId="50" applyFont="1" applyBorder="1" applyAlignment="1">
      <alignment horizontal="center" vertical="center"/>
    </xf>
    <xf numFmtId="177" fontId="17" fillId="0" borderId="1" xfId="50" applyNumberFormat="1" applyFont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177" fontId="12" fillId="0" borderId="1" xfId="50" applyNumberFormat="1" applyFont="1" applyFill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0" fillId="0" borderId="1" xfId="50" applyFont="1" applyFill="1" applyBorder="1" applyAlignment="1">
      <alignment vertical="center"/>
    </xf>
    <xf numFmtId="0" fontId="6" fillId="0" borderId="1" xfId="50" applyFont="1" applyFill="1" applyBorder="1" applyAlignment="1">
      <alignment vertical="center"/>
    </xf>
    <xf numFmtId="0" fontId="5" fillId="0" borderId="1" xfId="50" applyFont="1" applyBorder="1" applyAlignment="1">
      <alignment horizontal="center" vertical="center" wrapText="1"/>
    </xf>
    <xf numFmtId="0" fontId="14" fillId="0" borderId="1" xfId="50" applyFont="1" applyFill="1" applyBorder="1" applyAlignment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2017年全市一般公共预算支出计划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?鹎%U龡&amp;H齲_x0001_C铣_x0014__x0007__x0001__x0001_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showZeros="0" workbookViewId="0">
      <selection activeCell="F28" sqref="F28"/>
    </sheetView>
  </sheetViews>
  <sheetFormatPr defaultColWidth="9" defaultRowHeight="14.25"/>
  <cols>
    <col min="1" max="1" width="25.875" customWidth="1"/>
    <col min="2" max="2" width="8.875" customWidth="1"/>
    <col min="3" max="3" width="11.125" customWidth="1"/>
    <col min="4" max="4" width="8.375" customWidth="1"/>
    <col min="5" max="5" width="9.5" customWidth="1"/>
    <col min="6" max="6" width="29.375" customWidth="1"/>
    <col min="7" max="8" width="9.375" customWidth="1"/>
    <col min="9" max="9" width="9.75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9.875" customWidth="1"/>
    <col min="15" max="15" width="9.875" style="6" customWidth="1"/>
    <col min="17" max="17" width="14.375" customWidth="1"/>
  </cols>
  <sheetData>
    <row r="1" ht="33.75" spans="1: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11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v>131944</v>
      </c>
      <c r="C5" s="52">
        <v>138451</v>
      </c>
      <c r="D5" s="88">
        <f t="shared" ref="D5:D22" si="0">C5-B5</f>
        <v>6507</v>
      </c>
      <c r="E5" s="18">
        <f t="shared" ref="E5:E9" si="1">D5/B5</f>
        <v>0.0493163766446371</v>
      </c>
      <c r="F5" s="21" t="s">
        <v>13</v>
      </c>
      <c r="G5" s="19">
        <v>379528</v>
      </c>
      <c r="H5" s="19">
        <v>363139</v>
      </c>
      <c r="I5" s="19">
        <f t="shared" ref="H5:I5" si="2">SUM(I6:I26)</f>
        <v>-16389</v>
      </c>
      <c r="J5" s="18">
        <f t="shared" ref="J5:J31" si="3">I5/G5</f>
        <v>-0.043182584684134</v>
      </c>
      <c r="K5" s="46" t="s">
        <v>14</v>
      </c>
      <c r="L5" s="52">
        <v>206721</v>
      </c>
      <c r="M5" s="52">
        <f>SUM(M6:M10)</f>
        <v>63728</v>
      </c>
      <c r="N5" s="88">
        <f t="shared" ref="N5" si="4">SUM(N6:N9)</f>
        <v>-141959</v>
      </c>
      <c r="O5" s="18">
        <f>N5/L5</f>
        <v>-0.686717846759642</v>
      </c>
    </row>
    <row r="6" ht="17.25" customHeight="1" spans="1:15">
      <c r="A6" s="21" t="s">
        <v>15</v>
      </c>
      <c r="B6" s="52">
        <v>91770</v>
      </c>
      <c r="C6" s="52">
        <v>75327</v>
      </c>
      <c r="D6" s="88">
        <f>SUM(D7,D10:D23)</f>
        <v>-16443</v>
      </c>
      <c r="E6" s="18">
        <f t="shared" si="1"/>
        <v>-0.179176201372998</v>
      </c>
      <c r="F6" s="1" t="s">
        <v>16</v>
      </c>
      <c r="G6" s="22">
        <v>32930</v>
      </c>
      <c r="H6" s="22">
        <v>34963</v>
      </c>
      <c r="I6" s="51">
        <f t="shared" ref="I6:I31" si="5">H6-G6</f>
        <v>2033</v>
      </c>
      <c r="J6" s="5">
        <f t="shared" si="3"/>
        <v>0.0617370179167932</v>
      </c>
      <c r="K6" s="42" t="s">
        <v>17</v>
      </c>
      <c r="L6" s="51">
        <v>200183</v>
      </c>
      <c r="M6" s="22">
        <v>60272</v>
      </c>
      <c r="N6" s="51">
        <f t="shared" ref="N6:N12" si="6">M6-L6</f>
        <v>-139911</v>
      </c>
      <c r="O6" s="5">
        <f>N6/L6</f>
        <v>-0.698915492324523</v>
      </c>
    </row>
    <row r="7" ht="17.25" customHeight="1" spans="1:15">
      <c r="A7" s="1" t="s">
        <v>18</v>
      </c>
      <c r="B7" s="51">
        <v>32010</v>
      </c>
      <c r="C7" s="51">
        <v>27566</v>
      </c>
      <c r="D7" s="51">
        <f>SUM(D8:D9)</f>
        <v>-4444</v>
      </c>
      <c r="E7" s="5">
        <f t="shared" si="1"/>
        <v>-0.138831615120275</v>
      </c>
      <c r="F7" s="1" t="s">
        <v>19</v>
      </c>
      <c r="G7" s="22">
        <v>366</v>
      </c>
      <c r="H7" s="22">
        <v>526</v>
      </c>
      <c r="I7" s="51">
        <f t="shared" si="5"/>
        <v>160</v>
      </c>
      <c r="J7" s="5">
        <f t="shared" si="3"/>
        <v>0.437158469945355</v>
      </c>
      <c r="K7" s="42" t="s">
        <v>20</v>
      </c>
      <c r="L7" s="51">
        <v>2797</v>
      </c>
      <c r="M7" s="22">
        <v>686</v>
      </c>
      <c r="N7" s="51">
        <f t="shared" si="6"/>
        <v>-2111</v>
      </c>
      <c r="O7" s="5">
        <f>N7/L7</f>
        <v>-0.754737218448338</v>
      </c>
    </row>
    <row r="8" ht="17.25" customHeight="1" spans="1:15">
      <c r="A8" s="1" t="s">
        <v>21</v>
      </c>
      <c r="B8" s="51">
        <v>32010</v>
      </c>
      <c r="C8" s="51">
        <v>27566</v>
      </c>
      <c r="D8" s="51">
        <f t="shared" si="0"/>
        <v>-4444</v>
      </c>
      <c r="E8" s="5">
        <f t="shared" si="1"/>
        <v>-0.138831615120275</v>
      </c>
      <c r="F8" s="1" t="s">
        <v>22</v>
      </c>
      <c r="G8" s="22">
        <v>14380</v>
      </c>
      <c r="H8" s="22">
        <v>14739</v>
      </c>
      <c r="I8" s="51">
        <f t="shared" si="5"/>
        <v>359</v>
      </c>
      <c r="J8" s="5">
        <f t="shared" si="3"/>
        <v>0.0249652294853964</v>
      </c>
      <c r="K8" s="42" t="s">
        <v>23</v>
      </c>
      <c r="L8" s="51">
        <v>496</v>
      </c>
      <c r="M8" s="51">
        <v>480</v>
      </c>
      <c r="N8" s="51">
        <f t="shared" si="6"/>
        <v>-16</v>
      </c>
      <c r="O8" s="5">
        <f>N8/L8</f>
        <v>-0.032258064516129</v>
      </c>
    </row>
    <row r="9" ht="17.25" customHeight="1" spans="1:15">
      <c r="A9" s="1" t="s">
        <v>24</v>
      </c>
      <c r="B9" s="51"/>
      <c r="C9" s="51"/>
      <c r="D9" s="51">
        <f t="shared" si="0"/>
        <v>0</v>
      </c>
      <c r="E9" s="5" t="e">
        <f t="shared" si="1"/>
        <v>#DIV/0!</v>
      </c>
      <c r="F9" s="1" t="s">
        <v>25</v>
      </c>
      <c r="G9" s="22">
        <v>99154</v>
      </c>
      <c r="H9" s="22">
        <v>108501</v>
      </c>
      <c r="I9" s="51">
        <f t="shared" si="5"/>
        <v>9347</v>
      </c>
      <c r="J9" s="5">
        <f t="shared" si="3"/>
        <v>0.0942675030760232</v>
      </c>
      <c r="K9" s="42" t="s">
        <v>26</v>
      </c>
      <c r="L9" s="51">
        <v>895</v>
      </c>
      <c r="M9" s="51">
        <v>974</v>
      </c>
      <c r="N9" s="51">
        <f t="shared" si="6"/>
        <v>79</v>
      </c>
      <c r="O9" s="5">
        <f>N9/L9</f>
        <v>0.088268156424581</v>
      </c>
    </row>
    <row r="10" ht="17.25" customHeight="1" spans="1:15">
      <c r="A10" s="1" t="s">
        <v>27</v>
      </c>
      <c r="B10" s="51"/>
      <c r="C10" s="51"/>
      <c r="D10" s="51">
        <f t="shared" si="0"/>
        <v>0</v>
      </c>
      <c r="E10" s="5"/>
      <c r="F10" s="1" t="s">
        <v>28</v>
      </c>
      <c r="G10" s="22">
        <v>3664</v>
      </c>
      <c r="H10" s="22">
        <v>4182</v>
      </c>
      <c r="I10" s="51">
        <f t="shared" si="5"/>
        <v>518</v>
      </c>
      <c r="J10" s="5">
        <f t="shared" si="3"/>
        <v>0.141375545851528</v>
      </c>
      <c r="K10" s="42" t="s">
        <v>29</v>
      </c>
      <c r="L10" s="51">
        <v>2350</v>
      </c>
      <c r="M10" s="51">
        <v>1316</v>
      </c>
      <c r="N10" s="51">
        <f t="shared" si="6"/>
        <v>-1034</v>
      </c>
      <c r="O10" s="5"/>
    </row>
    <row r="11" ht="17.25" customHeight="1" spans="1:15">
      <c r="A11" s="1" t="s">
        <v>30</v>
      </c>
      <c r="B11" s="51">
        <v>13925</v>
      </c>
      <c r="C11" s="51">
        <v>15896</v>
      </c>
      <c r="D11" s="51">
        <f t="shared" si="0"/>
        <v>1971</v>
      </c>
      <c r="E11" s="5">
        <f t="shared" ref="E11:E38" si="7">D11/B11</f>
        <v>0.141543985637343</v>
      </c>
      <c r="F11" s="1" t="s">
        <v>31</v>
      </c>
      <c r="G11" s="22">
        <v>6111</v>
      </c>
      <c r="H11" s="22">
        <v>5187</v>
      </c>
      <c r="I11" s="51">
        <f t="shared" si="5"/>
        <v>-924</v>
      </c>
      <c r="J11" s="5">
        <f t="shared" si="3"/>
        <v>-0.151202749140893</v>
      </c>
      <c r="K11" s="21" t="s">
        <v>32</v>
      </c>
      <c r="L11" s="85">
        <v>3254</v>
      </c>
      <c r="M11" s="85">
        <v>5656</v>
      </c>
      <c r="N11" s="52">
        <f t="shared" si="6"/>
        <v>2402</v>
      </c>
      <c r="O11" s="18">
        <f>N11/L11</f>
        <v>0.738168408113092</v>
      </c>
    </row>
    <row r="12" ht="17.25" customHeight="1" spans="1:15">
      <c r="A12" s="1" t="s">
        <v>33</v>
      </c>
      <c r="B12" s="51">
        <v>8356</v>
      </c>
      <c r="C12" s="51">
        <v>7112</v>
      </c>
      <c r="D12" s="51">
        <f t="shared" si="0"/>
        <v>-1244</v>
      </c>
      <c r="E12" s="5">
        <f t="shared" si="7"/>
        <v>-0.148875059837243</v>
      </c>
      <c r="F12" s="1" t="s">
        <v>34</v>
      </c>
      <c r="G12" s="22">
        <v>52105</v>
      </c>
      <c r="H12" s="22">
        <v>58759</v>
      </c>
      <c r="I12" s="51">
        <f t="shared" si="5"/>
        <v>6654</v>
      </c>
      <c r="J12" s="5">
        <f t="shared" si="3"/>
        <v>0.127703675271087</v>
      </c>
      <c r="K12" s="21" t="s">
        <v>35</v>
      </c>
      <c r="L12" s="85">
        <v>6435</v>
      </c>
      <c r="M12" s="85">
        <v>20503</v>
      </c>
      <c r="N12" s="88">
        <f t="shared" si="6"/>
        <v>14068</v>
      </c>
      <c r="O12" s="18">
        <f>N12/L12</f>
        <v>2.18616938616939</v>
      </c>
    </row>
    <row r="13" ht="17.25" customHeight="1" spans="1:15">
      <c r="A13" s="1" t="s">
        <v>36</v>
      </c>
      <c r="B13" s="51">
        <v>1299</v>
      </c>
      <c r="C13" s="51">
        <v>442</v>
      </c>
      <c r="D13" s="51">
        <f t="shared" si="0"/>
        <v>-857</v>
      </c>
      <c r="E13" s="5">
        <f t="shared" si="7"/>
        <v>-0.659738260200154</v>
      </c>
      <c r="F13" s="1" t="s">
        <v>37</v>
      </c>
      <c r="G13" s="22">
        <v>31116</v>
      </c>
      <c r="H13" s="22">
        <v>29303</v>
      </c>
      <c r="I13" s="51">
        <f t="shared" si="5"/>
        <v>-1813</v>
      </c>
      <c r="J13" s="5">
        <f t="shared" si="3"/>
        <v>-0.0582658439388096</v>
      </c>
      <c r="K13" s="21" t="s">
        <v>38</v>
      </c>
      <c r="L13" s="85">
        <v>18494</v>
      </c>
      <c r="M13" s="85">
        <v>32954</v>
      </c>
      <c r="N13" s="52">
        <v>14460</v>
      </c>
      <c r="O13" s="18">
        <v>0.781875202768465</v>
      </c>
    </row>
    <row r="14" ht="17.25" customHeight="1" spans="1:15">
      <c r="A14" s="1" t="s">
        <v>39</v>
      </c>
      <c r="B14" s="51">
        <v>3385</v>
      </c>
      <c r="C14" s="51">
        <v>2916</v>
      </c>
      <c r="D14" s="51">
        <f t="shared" si="0"/>
        <v>-469</v>
      </c>
      <c r="E14" s="5">
        <f t="shared" si="7"/>
        <v>-0.138552437223043</v>
      </c>
      <c r="F14" s="1" t="s">
        <v>40</v>
      </c>
      <c r="G14" s="22">
        <v>6769</v>
      </c>
      <c r="H14" s="22">
        <v>4690</v>
      </c>
      <c r="I14" s="51">
        <f t="shared" si="5"/>
        <v>-2079</v>
      </c>
      <c r="J14" s="5">
        <f t="shared" si="3"/>
        <v>-0.307135470527404</v>
      </c>
      <c r="K14" s="21" t="s">
        <v>41</v>
      </c>
      <c r="L14" s="85">
        <v>234904</v>
      </c>
      <c r="M14" s="85">
        <v>122841</v>
      </c>
      <c r="N14" s="88">
        <v>-112063</v>
      </c>
      <c r="O14" s="18">
        <v>-0.477058713346729</v>
      </c>
    </row>
    <row r="15" ht="17.25" customHeight="1" spans="1:15">
      <c r="A15" s="1" t="s">
        <v>42</v>
      </c>
      <c r="B15" s="51">
        <v>2334</v>
      </c>
      <c r="C15" s="51">
        <v>2154</v>
      </c>
      <c r="D15" s="51">
        <f t="shared" si="0"/>
        <v>-180</v>
      </c>
      <c r="E15" s="5">
        <f t="shared" si="7"/>
        <v>-0.077120822622108</v>
      </c>
      <c r="F15" s="1" t="s">
        <v>43</v>
      </c>
      <c r="G15" s="22">
        <v>11189</v>
      </c>
      <c r="H15" s="22">
        <v>8332</v>
      </c>
      <c r="I15" s="51">
        <f t="shared" si="5"/>
        <v>-2857</v>
      </c>
      <c r="J15" s="5">
        <f t="shared" si="3"/>
        <v>-0.255340066136384</v>
      </c>
      <c r="K15" s="9" t="s">
        <v>44</v>
      </c>
      <c r="L15" s="10"/>
      <c r="M15" s="10"/>
      <c r="N15" s="10"/>
      <c r="O15" s="11"/>
    </row>
    <row r="16" ht="17.25" customHeight="1" spans="1:15">
      <c r="A16" s="1" t="s">
        <v>45</v>
      </c>
      <c r="B16" s="51">
        <v>1510</v>
      </c>
      <c r="C16" s="51">
        <v>1111</v>
      </c>
      <c r="D16" s="51">
        <f t="shared" si="0"/>
        <v>-399</v>
      </c>
      <c r="E16" s="5">
        <f t="shared" si="7"/>
        <v>-0.264238410596026</v>
      </c>
      <c r="F16" s="1" t="s">
        <v>46</v>
      </c>
      <c r="G16" s="22">
        <v>45546</v>
      </c>
      <c r="H16" s="22">
        <v>56851</v>
      </c>
      <c r="I16" s="51">
        <f t="shared" si="5"/>
        <v>11305</v>
      </c>
      <c r="J16" s="5">
        <f t="shared" si="3"/>
        <v>0.248210600272252</v>
      </c>
      <c r="K16" s="15" t="s">
        <v>6</v>
      </c>
      <c r="L16" s="15" t="s">
        <v>7</v>
      </c>
      <c r="M16" s="15" t="s">
        <v>8</v>
      </c>
      <c r="N16" s="15" t="s">
        <v>11</v>
      </c>
      <c r="O16" s="15" t="s">
        <v>10</v>
      </c>
    </row>
    <row r="17" ht="17.25" customHeight="1" spans="1:15">
      <c r="A17" s="1" t="s">
        <v>47</v>
      </c>
      <c r="B17" s="51">
        <v>3088</v>
      </c>
      <c r="C17" s="51">
        <v>2144</v>
      </c>
      <c r="D17" s="51">
        <f t="shared" si="0"/>
        <v>-944</v>
      </c>
      <c r="E17" s="5">
        <f t="shared" si="7"/>
        <v>-0.305699481865285</v>
      </c>
      <c r="F17" s="1" t="s">
        <v>48</v>
      </c>
      <c r="G17" s="22">
        <v>29485</v>
      </c>
      <c r="H17" s="22">
        <v>4077</v>
      </c>
      <c r="I17" s="51">
        <f t="shared" si="5"/>
        <v>-25408</v>
      </c>
      <c r="J17" s="5">
        <f t="shared" si="3"/>
        <v>-0.861726301509242</v>
      </c>
      <c r="K17" s="46" t="s">
        <v>49</v>
      </c>
      <c r="L17" s="52">
        <v>107691</v>
      </c>
      <c r="M17" s="52">
        <f>SUM(M18:M29)</f>
        <v>118376</v>
      </c>
      <c r="N17" s="88">
        <f>SUM(N18:N29)</f>
        <v>-96645</v>
      </c>
      <c r="O17" s="18">
        <f t="shared" ref="O17:O25" si="8">N17/L17</f>
        <v>-0.897428754492019</v>
      </c>
    </row>
    <row r="18" ht="17.25" customHeight="1" spans="1:15">
      <c r="A18" s="1" t="s">
        <v>50</v>
      </c>
      <c r="B18" s="51">
        <v>13236</v>
      </c>
      <c r="C18" s="51">
        <v>7096</v>
      </c>
      <c r="D18" s="51">
        <f t="shared" si="0"/>
        <v>-6140</v>
      </c>
      <c r="E18" s="5">
        <f t="shared" si="7"/>
        <v>-0.463886370504684</v>
      </c>
      <c r="F18" s="1" t="s">
        <v>51</v>
      </c>
      <c r="G18" s="22">
        <v>1713</v>
      </c>
      <c r="H18" s="22">
        <v>2829</v>
      </c>
      <c r="I18" s="51">
        <f t="shared" si="5"/>
        <v>1116</v>
      </c>
      <c r="J18" s="5">
        <f t="shared" si="3"/>
        <v>0.651488616462347</v>
      </c>
      <c r="K18" s="42" t="s">
        <v>52</v>
      </c>
      <c r="L18" s="51">
        <v>714</v>
      </c>
      <c r="M18" s="51">
        <v>103</v>
      </c>
      <c r="N18" s="51">
        <f t="shared" ref="N18:N25" si="9">M18-L18</f>
        <v>-611</v>
      </c>
      <c r="O18" s="5">
        <f t="shared" si="8"/>
        <v>-0.855742296918767</v>
      </c>
    </row>
    <row r="19" ht="17.25" customHeight="1" spans="1:15">
      <c r="A19" s="1" t="s">
        <v>53</v>
      </c>
      <c r="B19" s="51">
        <v>3257</v>
      </c>
      <c r="C19" s="51">
        <v>2159</v>
      </c>
      <c r="D19" s="51">
        <f t="shared" si="0"/>
        <v>-1098</v>
      </c>
      <c r="E19" s="5">
        <f t="shared" si="7"/>
        <v>-0.337120049124962</v>
      </c>
      <c r="F19" s="1" t="s">
        <v>54</v>
      </c>
      <c r="G19" s="22">
        <v>22360</v>
      </c>
      <c r="H19" s="22">
        <v>1326</v>
      </c>
      <c r="I19" s="51">
        <f t="shared" si="5"/>
        <v>-21034</v>
      </c>
      <c r="J19" s="5">
        <f t="shared" si="3"/>
        <v>-0.940697674418605</v>
      </c>
      <c r="K19" s="81" t="s">
        <v>55</v>
      </c>
      <c r="L19" s="51">
        <v>94439</v>
      </c>
      <c r="M19" s="51">
        <v>28801</v>
      </c>
      <c r="N19" s="51">
        <f t="shared" si="9"/>
        <v>-65638</v>
      </c>
      <c r="O19" s="5">
        <f t="shared" si="8"/>
        <v>-0.69503065470833</v>
      </c>
    </row>
    <row r="20" ht="17.25" customHeight="1" spans="1:15">
      <c r="A20" s="1" t="s">
        <v>56</v>
      </c>
      <c r="B20" s="51">
        <v>125</v>
      </c>
      <c r="C20" s="51">
        <v>77</v>
      </c>
      <c r="D20" s="51">
        <f t="shared" si="0"/>
        <v>-48</v>
      </c>
      <c r="E20" s="5">
        <f t="shared" si="7"/>
        <v>-0.384</v>
      </c>
      <c r="F20" s="1" t="s">
        <v>57</v>
      </c>
      <c r="G20" s="22">
        <v>301</v>
      </c>
      <c r="H20" s="22">
        <v>520</v>
      </c>
      <c r="I20" s="51">
        <f t="shared" si="5"/>
        <v>219</v>
      </c>
      <c r="J20" s="5">
        <f t="shared" si="3"/>
        <v>0.727574750830565</v>
      </c>
      <c r="K20" s="42" t="s">
        <v>58</v>
      </c>
      <c r="L20" s="51">
        <v>31</v>
      </c>
      <c r="M20" s="51">
        <v>3</v>
      </c>
      <c r="N20" s="51">
        <f t="shared" si="9"/>
        <v>-28</v>
      </c>
      <c r="O20" s="5">
        <f t="shared" si="8"/>
        <v>-0.903225806451613</v>
      </c>
    </row>
    <row r="21" ht="17.25" customHeight="1" spans="1:15">
      <c r="A21" s="1" t="s">
        <v>59</v>
      </c>
      <c r="B21" s="51">
        <v>1628</v>
      </c>
      <c r="C21" s="51">
        <v>345</v>
      </c>
      <c r="D21" s="51">
        <f t="shared" si="0"/>
        <v>-1283</v>
      </c>
      <c r="E21" s="5">
        <f t="shared" si="7"/>
        <v>-0.788083538083538</v>
      </c>
      <c r="F21" s="1" t="s">
        <v>60</v>
      </c>
      <c r="G21" s="22">
        <v>1721</v>
      </c>
      <c r="H21" s="22">
        <v>6453</v>
      </c>
      <c r="I21" s="51">
        <f t="shared" si="5"/>
        <v>4732</v>
      </c>
      <c r="J21" s="5">
        <f t="shared" si="3"/>
        <v>2.74956420685648</v>
      </c>
      <c r="K21" s="42" t="s">
        <v>61</v>
      </c>
      <c r="L21" s="51">
        <v>2481</v>
      </c>
      <c r="M21" s="51">
        <v>1505</v>
      </c>
      <c r="N21" s="51">
        <f t="shared" si="9"/>
        <v>-976</v>
      </c>
      <c r="O21" s="5">
        <f t="shared" si="8"/>
        <v>-0.393389762192664</v>
      </c>
    </row>
    <row r="22" ht="17.25" customHeight="1" spans="1:15">
      <c r="A22" s="1" t="s">
        <v>62</v>
      </c>
      <c r="B22" s="51">
        <v>7617</v>
      </c>
      <c r="C22" s="51">
        <v>6309</v>
      </c>
      <c r="D22" s="51">
        <f t="shared" si="0"/>
        <v>-1308</v>
      </c>
      <c r="E22" s="5">
        <f t="shared" si="7"/>
        <v>-0.171721150059078</v>
      </c>
      <c r="F22" s="1" t="s">
        <v>63</v>
      </c>
      <c r="G22" s="22">
        <v>914</v>
      </c>
      <c r="H22" s="22">
        <v>1975</v>
      </c>
      <c r="I22" s="51">
        <f t="shared" si="5"/>
        <v>1061</v>
      </c>
      <c r="J22" s="5">
        <f t="shared" si="3"/>
        <v>1.16083150984683</v>
      </c>
      <c r="K22" s="42" t="s">
        <v>64</v>
      </c>
      <c r="L22" s="51">
        <v>820</v>
      </c>
      <c r="M22" s="51">
        <v>1195</v>
      </c>
      <c r="N22" s="51">
        <f t="shared" si="9"/>
        <v>375</v>
      </c>
      <c r="O22" s="5">
        <f t="shared" si="8"/>
        <v>0.457317073170732</v>
      </c>
    </row>
    <row r="23" ht="17.25" customHeight="1" spans="1:15">
      <c r="A23" s="1" t="s">
        <v>65</v>
      </c>
      <c r="B23" s="51"/>
      <c r="C23" s="51"/>
      <c r="D23" s="51"/>
      <c r="E23" s="5" t="e">
        <f t="shared" si="7"/>
        <v>#DIV/0!</v>
      </c>
      <c r="F23" s="1" t="s">
        <v>66</v>
      </c>
      <c r="G23" s="22">
        <v>815</v>
      </c>
      <c r="H23" s="22">
        <v>1002</v>
      </c>
      <c r="I23" s="51">
        <f t="shared" si="5"/>
        <v>187</v>
      </c>
      <c r="J23" s="5">
        <f t="shared" si="3"/>
        <v>0.229447852760736</v>
      </c>
      <c r="K23" s="42" t="s">
        <v>67</v>
      </c>
      <c r="L23" s="51"/>
      <c r="M23" s="51">
        <v>1119</v>
      </c>
      <c r="N23" s="51">
        <f t="shared" si="9"/>
        <v>1119</v>
      </c>
      <c r="O23" s="5" t="e">
        <f t="shared" si="8"/>
        <v>#DIV/0!</v>
      </c>
    </row>
    <row r="24" ht="17.25" customHeight="1" spans="1:15">
      <c r="A24" s="21" t="s">
        <v>68</v>
      </c>
      <c r="B24" s="52">
        <v>40174</v>
      </c>
      <c r="C24" s="52">
        <v>63124</v>
      </c>
      <c r="D24" s="52">
        <f>SUM(D25,D27:D32)</f>
        <v>22950</v>
      </c>
      <c r="E24" s="18">
        <f t="shared" si="7"/>
        <v>0.571264997261911</v>
      </c>
      <c r="F24" s="1" t="s">
        <v>69</v>
      </c>
      <c r="G24" s="22">
        <v>3320</v>
      </c>
      <c r="H24" s="22">
        <v>2459</v>
      </c>
      <c r="I24" s="51">
        <f t="shared" si="5"/>
        <v>-861</v>
      </c>
      <c r="J24" s="5">
        <f t="shared" si="3"/>
        <v>-0.25933734939759</v>
      </c>
      <c r="K24" s="81" t="s">
        <v>70</v>
      </c>
      <c r="L24" s="51">
        <v>240</v>
      </c>
      <c r="M24" s="51">
        <v>340</v>
      </c>
      <c r="N24" s="51">
        <f t="shared" si="9"/>
        <v>100</v>
      </c>
      <c r="O24" s="5">
        <f t="shared" si="8"/>
        <v>0.416666666666667</v>
      </c>
    </row>
    <row r="25" ht="17.25" customHeight="1" spans="1:15">
      <c r="A25" s="21" t="s">
        <v>71</v>
      </c>
      <c r="B25" s="51">
        <v>9747</v>
      </c>
      <c r="C25" s="51">
        <v>4128</v>
      </c>
      <c r="D25" s="51">
        <f t="shared" ref="D25:D38" si="10">C25-B25</f>
        <v>-5619</v>
      </c>
      <c r="E25" s="5">
        <f t="shared" si="7"/>
        <v>-0.576485072329948</v>
      </c>
      <c r="F25" s="1" t="s">
        <v>72</v>
      </c>
      <c r="G25" s="22">
        <v>15428</v>
      </c>
      <c r="H25" s="22">
        <v>16264</v>
      </c>
      <c r="I25" s="51">
        <f t="shared" si="5"/>
        <v>836</v>
      </c>
      <c r="J25" s="5">
        <f t="shared" si="3"/>
        <v>0.0541871921182266</v>
      </c>
      <c r="K25" s="42" t="s">
        <v>73</v>
      </c>
      <c r="L25" s="51">
        <v>1205</v>
      </c>
      <c r="M25" s="51">
        <v>1611</v>
      </c>
      <c r="N25" s="51">
        <f t="shared" si="9"/>
        <v>406</v>
      </c>
      <c r="O25" s="5">
        <f t="shared" si="8"/>
        <v>0.336929460580913</v>
      </c>
    </row>
    <row r="26" ht="17.25" customHeight="1" spans="1:15">
      <c r="A26" s="1" t="s">
        <v>74</v>
      </c>
      <c r="B26" s="51">
        <v>2198</v>
      </c>
      <c r="C26" s="51">
        <v>1799</v>
      </c>
      <c r="D26" s="51">
        <f t="shared" si="10"/>
        <v>-399</v>
      </c>
      <c r="E26" s="5">
        <f t="shared" si="7"/>
        <v>-0.181528662420382</v>
      </c>
      <c r="F26" s="1" t="s">
        <v>75</v>
      </c>
      <c r="G26" s="22">
        <v>141</v>
      </c>
      <c r="H26" s="22">
        <v>201</v>
      </c>
      <c r="I26" s="51">
        <f t="shared" si="5"/>
        <v>60</v>
      </c>
      <c r="J26" s="5">
        <f t="shared" si="3"/>
        <v>0.425531914893617</v>
      </c>
      <c r="K26" s="42" t="s">
        <v>76</v>
      </c>
      <c r="L26" s="51">
        <v>5039</v>
      </c>
      <c r="M26">
        <v>44597</v>
      </c>
      <c r="N26" s="51">
        <v>39558</v>
      </c>
      <c r="O26" s="5">
        <v>7.85036713633657</v>
      </c>
    </row>
    <row r="27" ht="17.25" customHeight="1" spans="1:15">
      <c r="A27" s="1" t="s">
        <v>77</v>
      </c>
      <c r="B27" s="51">
        <v>4131</v>
      </c>
      <c r="C27" s="51">
        <v>3908</v>
      </c>
      <c r="D27" s="51">
        <f t="shared" si="10"/>
        <v>-223</v>
      </c>
      <c r="E27" s="5">
        <f t="shared" si="7"/>
        <v>-0.0539820866618252</v>
      </c>
      <c r="F27" s="26" t="s">
        <v>78</v>
      </c>
      <c r="G27" s="69">
        <v>7560</v>
      </c>
      <c r="H27" s="69">
        <v>7376</v>
      </c>
      <c r="I27" s="52">
        <f t="shared" si="5"/>
        <v>-184</v>
      </c>
      <c r="J27" s="18">
        <f t="shared" si="3"/>
        <v>-0.0243386243386243</v>
      </c>
      <c r="K27" s="42" t="s">
        <v>79</v>
      </c>
      <c r="L27" s="51">
        <v>2722</v>
      </c>
      <c r="M27" s="51">
        <v>3804</v>
      </c>
      <c r="N27" s="51">
        <v>1082</v>
      </c>
      <c r="O27" s="5">
        <v>0.397501836884644</v>
      </c>
    </row>
    <row r="28" ht="17.25" customHeight="1" spans="1:15">
      <c r="A28" s="1" t="s">
        <v>80</v>
      </c>
      <c r="B28" s="51">
        <v>2609</v>
      </c>
      <c r="C28" s="51">
        <v>2585</v>
      </c>
      <c r="D28" s="51">
        <f t="shared" si="10"/>
        <v>-24</v>
      </c>
      <c r="E28" s="5">
        <f t="shared" si="7"/>
        <v>-0.00919892679187428</v>
      </c>
      <c r="F28" s="1" t="s">
        <v>81</v>
      </c>
      <c r="G28" s="22">
        <v>3403</v>
      </c>
      <c r="H28" s="22">
        <v>3269</v>
      </c>
      <c r="I28" s="51">
        <f t="shared" si="5"/>
        <v>-134</v>
      </c>
      <c r="J28" s="5">
        <f t="shared" si="3"/>
        <v>-0.0393770202762269</v>
      </c>
      <c r="K28" s="16" t="s">
        <v>82</v>
      </c>
      <c r="L28" s="45">
        <v>106710</v>
      </c>
      <c r="M28" s="45">
        <v>34678</v>
      </c>
      <c r="N28" s="45">
        <v>-72032</v>
      </c>
      <c r="O28" s="18">
        <v>-0.67502577078062</v>
      </c>
    </row>
    <row r="29" ht="17.25" customHeight="1" spans="1:15">
      <c r="A29" s="1" t="s">
        <v>83</v>
      </c>
      <c r="B29" s="51">
        <v>2300</v>
      </c>
      <c r="C29" s="51">
        <v>8157</v>
      </c>
      <c r="D29" s="51">
        <f t="shared" si="10"/>
        <v>5857</v>
      </c>
      <c r="E29" s="5">
        <f t="shared" si="7"/>
        <v>2.54652173913043</v>
      </c>
      <c r="F29" s="1" t="s">
        <v>84</v>
      </c>
      <c r="G29" s="22">
        <v>4157</v>
      </c>
      <c r="H29" s="22">
        <v>4107</v>
      </c>
      <c r="I29" s="51">
        <f t="shared" si="5"/>
        <v>-50</v>
      </c>
      <c r="J29" s="5">
        <f t="shared" si="3"/>
        <v>-0.0120279047389945</v>
      </c>
      <c r="K29" s="16" t="s">
        <v>85</v>
      </c>
      <c r="L29" s="45"/>
      <c r="M29" s="45">
        <v>620</v>
      </c>
      <c r="N29" s="45">
        <v>0</v>
      </c>
      <c r="O29" s="16"/>
    </row>
    <row r="30" ht="17.25" customHeight="1" spans="1:15">
      <c r="A30" s="1" t="s">
        <v>86</v>
      </c>
      <c r="B30" s="51">
        <v>2769</v>
      </c>
      <c r="C30" s="51">
        <v>27055</v>
      </c>
      <c r="D30" s="51">
        <f t="shared" si="10"/>
        <v>24286</v>
      </c>
      <c r="E30" s="5">
        <f t="shared" si="7"/>
        <v>8.77067533405562</v>
      </c>
      <c r="F30" s="26" t="s">
        <v>87</v>
      </c>
      <c r="G30" s="19">
        <v>19756</v>
      </c>
      <c r="H30" s="19">
        <v>101420</v>
      </c>
      <c r="I30" s="88">
        <f t="shared" si="5"/>
        <v>81664</v>
      </c>
      <c r="J30" s="97">
        <f t="shared" si="3"/>
        <v>4.13363028953229</v>
      </c>
      <c r="K30" s="16" t="s">
        <v>88</v>
      </c>
      <c r="L30" s="45">
        <v>20503</v>
      </c>
      <c r="M30" s="45">
        <v>4465</v>
      </c>
      <c r="N30" s="45">
        <v>0</v>
      </c>
      <c r="O30" s="5">
        <v>0</v>
      </c>
    </row>
    <row r="31" ht="17.25" customHeight="1" spans="1:15">
      <c r="A31" s="1" t="s">
        <v>89</v>
      </c>
      <c r="B31" s="51">
        <v>64</v>
      </c>
      <c r="C31" s="51">
        <v>69</v>
      </c>
      <c r="D31" s="51">
        <f t="shared" si="10"/>
        <v>5</v>
      </c>
      <c r="E31" s="5">
        <f t="shared" si="7"/>
        <v>0.078125</v>
      </c>
      <c r="F31" s="26" t="s">
        <v>90</v>
      </c>
      <c r="G31" s="19">
        <v>10545</v>
      </c>
      <c r="H31" s="19">
        <v>7002</v>
      </c>
      <c r="I31" s="52">
        <f t="shared" si="5"/>
        <v>-3543</v>
      </c>
      <c r="J31" s="97">
        <f t="shared" si="3"/>
        <v>-0.335988620199146</v>
      </c>
      <c r="K31" s="16" t="s">
        <v>91</v>
      </c>
      <c r="L31" s="45">
        <v>234904</v>
      </c>
      <c r="M31" s="45">
        <v>138259</v>
      </c>
      <c r="N31" s="45">
        <v>-96645</v>
      </c>
      <c r="O31" s="18">
        <v>-0.411423389980588</v>
      </c>
    </row>
    <row r="32" ht="17.25" customHeight="1" spans="1:15">
      <c r="A32" s="1" t="s">
        <v>92</v>
      </c>
      <c r="B32" s="51">
        <v>18554</v>
      </c>
      <c r="C32" s="51">
        <v>17222</v>
      </c>
      <c r="D32" s="51">
        <f t="shared" si="10"/>
        <v>-1332</v>
      </c>
      <c r="E32" s="5">
        <f t="shared" si="7"/>
        <v>-0.0717904494987604</v>
      </c>
      <c r="F32" s="26" t="s">
        <v>93</v>
      </c>
      <c r="G32" s="19">
        <v>114</v>
      </c>
      <c r="H32" s="19">
        <v>115</v>
      </c>
      <c r="I32" s="52"/>
      <c r="J32" s="97"/>
      <c r="K32" s="21"/>
      <c r="L32" s="41"/>
      <c r="M32" s="41"/>
      <c r="N32" s="105"/>
      <c r="O32" s="18"/>
    </row>
    <row r="33" ht="17.25" customHeight="1" spans="1:15">
      <c r="A33" s="28" t="s">
        <v>94</v>
      </c>
      <c r="B33" s="52">
        <v>174812</v>
      </c>
      <c r="C33" s="52">
        <v>198664</v>
      </c>
      <c r="D33" s="88">
        <f t="shared" si="10"/>
        <v>23852</v>
      </c>
      <c r="E33" s="18">
        <f t="shared" si="7"/>
        <v>0.13644372239892</v>
      </c>
      <c r="F33" s="26" t="s">
        <v>95</v>
      </c>
      <c r="G33" s="19"/>
      <c r="H33" s="19"/>
      <c r="I33" s="52"/>
      <c r="J33" s="97"/>
      <c r="K33" s="21"/>
      <c r="L33" s="41"/>
      <c r="M33" s="41"/>
      <c r="N33" s="105"/>
      <c r="O33" s="18"/>
    </row>
    <row r="34" ht="17.25" customHeight="1" spans="1:15">
      <c r="A34" s="29" t="s">
        <v>96</v>
      </c>
      <c r="B34" s="51">
        <v>10690</v>
      </c>
      <c r="C34" s="51">
        <v>10690</v>
      </c>
      <c r="D34" s="51">
        <f t="shared" si="10"/>
        <v>0</v>
      </c>
      <c r="E34" s="5">
        <f t="shared" si="7"/>
        <v>0</v>
      </c>
      <c r="F34" s="21" t="s">
        <v>97</v>
      </c>
      <c r="G34" s="19">
        <v>57460</v>
      </c>
      <c r="H34" s="19">
        <v>60237</v>
      </c>
      <c r="I34" s="88">
        <f t="shared" ref="I34:I36" si="11">H34-G34</f>
        <v>2777</v>
      </c>
      <c r="J34" s="18">
        <f t="shared" ref="J34:J36" si="12">I34/G34</f>
        <v>0.0483292725374173</v>
      </c>
      <c r="K34" s="90" t="s">
        <v>98</v>
      </c>
      <c r="L34" s="91"/>
      <c r="M34" s="91"/>
      <c r="N34" s="91"/>
      <c r="O34" s="92"/>
    </row>
    <row r="35" ht="17.25" customHeight="1" spans="1:15">
      <c r="A35" s="29" t="s">
        <v>99</v>
      </c>
      <c r="B35" s="51">
        <v>128818</v>
      </c>
      <c r="C35" s="51">
        <v>146043</v>
      </c>
      <c r="D35" s="51">
        <f t="shared" si="10"/>
        <v>17225</v>
      </c>
      <c r="E35" s="5">
        <f t="shared" si="7"/>
        <v>0.133715785061094</v>
      </c>
      <c r="F35" s="1" t="s">
        <v>100</v>
      </c>
      <c r="G35" s="22">
        <v>57460</v>
      </c>
      <c r="H35" s="22">
        <v>60237</v>
      </c>
      <c r="I35" s="51">
        <f t="shared" si="11"/>
        <v>2777</v>
      </c>
      <c r="J35" s="5">
        <f t="shared" si="12"/>
        <v>0.0483292725374173</v>
      </c>
      <c r="K35" s="21" t="s">
        <v>6</v>
      </c>
      <c r="L35" s="52" t="s">
        <v>7</v>
      </c>
      <c r="M35" s="52" t="s">
        <v>8</v>
      </c>
      <c r="N35" s="52" t="s">
        <v>101</v>
      </c>
      <c r="O35" s="18" t="s">
        <v>10</v>
      </c>
    </row>
    <row r="36" ht="17.25" customHeight="1" spans="1:15">
      <c r="A36" s="29" t="s">
        <v>102</v>
      </c>
      <c r="B36" s="51">
        <v>35304</v>
      </c>
      <c r="C36" s="51">
        <v>41931</v>
      </c>
      <c r="D36" s="51">
        <f t="shared" si="10"/>
        <v>6627</v>
      </c>
      <c r="E36" s="5">
        <f t="shared" si="7"/>
        <v>0.187712440516655</v>
      </c>
      <c r="F36" s="21" t="s">
        <v>103</v>
      </c>
      <c r="G36" s="52">
        <f>SUM(G5,G27,G30:G34)</f>
        <v>474963</v>
      </c>
      <c r="H36" s="52">
        <v>539289</v>
      </c>
      <c r="I36" s="88">
        <f t="shared" si="11"/>
        <v>64326</v>
      </c>
      <c r="J36" s="18">
        <f t="shared" si="12"/>
        <v>0.13543370746774</v>
      </c>
      <c r="K36" s="112" t="s">
        <v>104</v>
      </c>
      <c r="L36" s="45">
        <v>235</v>
      </c>
      <c r="M36" s="45">
        <v>376</v>
      </c>
      <c r="N36" s="45">
        <v>141</v>
      </c>
      <c r="O36" s="18">
        <v>0.6</v>
      </c>
    </row>
    <row r="37" ht="17.25" customHeight="1" spans="1:15">
      <c r="A37" s="33" t="s">
        <v>105</v>
      </c>
      <c r="B37" s="52">
        <v>6443</v>
      </c>
      <c r="C37" s="52">
        <v>57460</v>
      </c>
      <c r="D37" s="88">
        <f t="shared" si="10"/>
        <v>51017</v>
      </c>
      <c r="E37" s="18">
        <f t="shared" si="7"/>
        <v>7.91820580474934</v>
      </c>
      <c r="F37" s="30" t="s">
        <v>106</v>
      </c>
      <c r="G37" s="31"/>
      <c r="H37" s="31"/>
      <c r="I37" s="31"/>
      <c r="J37" s="48"/>
      <c r="K37" s="112" t="s">
        <v>107</v>
      </c>
      <c r="L37" s="45">
        <v>5</v>
      </c>
      <c r="M37" s="45">
        <v>10</v>
      </c>
      <c r="N37" s="45">
        <v>5</v>
      </c>
      <c r="O37" s="18">
        <v>1</v>
      </c>
    </row>
    <row r="38" ht="17.25" customHeight="1" spans="1:15">
      <c r="A38" s="33" t="s">
        <v>108</v>
      </c>
      <c r="B38" s="52">
        <v>39051</v>
      </c>
      <c r="C38" s="52">
        <v>99205</v>
      </c>
      <c r="D38" s="88">
        <f t="shared" si="10"/>
        <v>60154</v>
      </c>
      <c r="E38" s="18">
        <f t="shared" si="7"/>
        <v>1.54039589255077</v>
      </c>
      <c r="F38" s="15" t="s">
        <v>6</v>
      </c>
      <c r="G38" s="15" t="s">
        <v>7</v>
      </c>
      <c r="H38" s="15" t="s">
        <v>8</v>
      </c>
      <c r="I38" s="15" t="s">
        <v>9</v>
      </c>
      <c r="J38" s="15" t="s">
        <v>10</v>
      </c>
      <c r="K38" s="21" t="s">
        <v>109</v>
      </c>
      <c r="L38" s="45">
        <v>179</v>
      </c>
      <c r="M38" s="45">
        <v>54</v>
      </c>
      <c r="N38" s="52">
        <v>-125</v>
      </c>
      <c r="O38" s="18">
        <v>-0.698324022346369</v>
      </c>
    </row>
    <row r="39" ht="17.25" customHeight="1" spans="1:15">
      <c r="A39" s="87" t="s">
        <v>110</v>
      </c>
      <c r="B39" s="52">
        <v>15507</v>
      </c>
      <c r="C39" s="52">
        <v>10545</v>
      </c>
      <c r="D39" s="52"/>
      <c r="E39" s="18"/>
      <c r="F39" s="21" t="s">
        <v>12</v>
      </c>
      <c r="G39" s="52">
        <v>131944</v>
      </c>
      <c r="H39" s="52">
        <f>C5</f>
        <v>138451</v>
      </c>
      <c r="I39" s="52">
        <f t="shared" ref="I39:I45" si="13">H39-G39</f>
        <v>6507</v>
      </c>
      <c r="J39" s="18">
        <f t="shared" ref="J39:J46" si="14">I39/G39</f>
        <v>0.0493163766446371</v>
      </c>
      <c r="K39" s="21" t="s">
        <v>111</v>
      </c>
      <c r="L39" s="45"/>
      <c r="M39" s="45">
        <v>6</v>
      </c>
      <c r="N39" s="52">
        <v>6</v>
      </c>
      <c r="O39" s="18"/>
    </row>
    <row r="40" ht="17.25" customHeight="1" spans="1:15">
      <c r="A40" s="33" t="s">
        <v>112</v>
      </c>
      <c r="B40" s="52">
        <v>107206</v>
      </c>
      <c r="C40" s="52">
        <v>34964</v>
      </c>
      <c r="D40" s="52">
        <f>C40-B40</f>
        <v>-72242</v>
      </c>
      <c r="E40" s="18">
        <f>D40/B40</f>
        <v>-0.673861537600507</v>
      </c>
      <c r="F40" s="34" t="s">
        <v>113</v>
      </c>
      <c r="G40" s="52">
        <v>70674</v>
      </c>
      <c r="H40" s="52">
        <v>64533</v>
      </c>
      <c r="I40" s="52">
        <f t="shared" ref="H40:I40" si="15">SUM(I41:I45)</f>
        <v>-6141</v>
      </c>
      <c r="J40" s="18">
        <f t="shared" si="14"/>
        <v>-0.0868919263095339</v>
      </c>
      <c r="K40" s="21" t="s">
        <v>114</v>
      </c>
      <c r="L40" s="45">
        <v>61</v>
      </c>
      <c r="M40" s="45">
        <v>326</v>
      </c>
      <c r="N40" s="52">
        <v>265</v>
      </c>
      <c r="O40" s="18">
        <v>4.34426229508197</v>
      </c>
    </row>
    <row r="41" ht="17.25" customHeight="1" spans="1:15">
      <c r="A41" s="33"/>
      <c r="B41" s="52"/>
      <c r="C41" s="52"/>
      <c r="D41" s="52"/>
      <c r="E41" s="18"/>
      <c r="F41" s="35" t="s">
        <v>115</v>
      </c>
      <c r="G41" s="51">
        <v>32010</v>
      </c>
      <c r="H41" s="51">
        <v>27566</v>
      </c>
      <c r="I41" s="51">
        <f t="shared" si="13"/>
        <v>-4444</v>
      </c>
      <c r="J41" s="5">
        <f t="shared" si="14"/>
        <v>-0.138831615120275</v>
      </c>
      <c r="K41" s="93" t="s">
        <v>116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117</v>
      </c>
      <c r="G42" s="51">
        <v>20887.5</v>
      </c>
      <c r="H42" s="51">
        <v>23844</v>
      </c>
      <c r="I42" s="51">
        <f t="shared" si="13"/>
        <v>2956.5</v>
      </c>
      <c r="J42" s="5">
        <f t="shared" si="14"/>
        <v>0.141543985637343</v>
      </c>
      <c r="K42" s="15" t="s">
        <v>6</v>
      </c>
      <c r="L42" s="15" t="s">
        <v>7</v>
      </c>
      <c r="M42" s="15" t="s">
        <v>8</v>
      </c>
      <c r="N42" s="15" t="s">
        <v>101</v>
      </c>
      <c r="O42" s="15" t="s">
        <v>10</v>
      </c>
    </row>
    <row r="43" ht="18" customHeight="1" spans="1:15">
      <c r="A43" s="33"/>
      <c r="B43" s="52"/>
      <c r="C43" s="52"/>
      <c r="D43" s="52"/>
      <c r="E43" s="18"/>
      <c r="F43" s="35" t="s">
        <v>118</v>
      </c>
      <c r="G43" s="51">
        <v>12533.5</v>
      </c>
      <c r="H43" s="51">
        <v>10668</v>
      </c>
      <c r="I43" s="51">
        <f t="shared" si="13"/>
        <v>-1865.5</v>
      </c>
      <c r="J43" s="5">
        <f t="shared" si="14"/>
        <v>-0.148841105836359</v>
      </c>
      <c r="K43" s="21" t="s">
        <v>119</v>
      </c>
      <c r="L43" s="45">
        <v>53531</v>
      </c>
      <c r="M43" s="45">
        <v>55768</v>
      </c>
      <c r="N43" s="45">
        <f>M43-L43</f>
        <v>2237</v>
      </c>
      <c r="O43" s="18">
        <f t="shared" ref="O43:O46" si="16">N43/L43</f>
        <v>0.0417888700005604</v>
      </c>
    </row>
    <row r="44" ht="18" customHeight="1" spans="1:15">
      <c r="A44" s="33"/>
      <c r="B44" s="52"/>
      <c r="C44" s="52"/>
      <c r="D44" s="52"/>
      <c r="E44" s="18"/>
      <c r="F44" s="35" t="s">
        <v>120</v>
      </c>
      <c r="G44" s="51">
        <v>68</v>
      </c>
      <c r="H44" s="51">
        <v>61</v>
      </c>
      <c r="I44" s="51">
        <f t="shared" si="13"/>
        <v>-7</v>
      </c>
      <c r="J44" s="5">
        <f t="shared" si="14"/>
        <v>-0.102941176470588</v>
      </c>
      <c r="K44" s="21" t="s">
        <v>121</v>
      </c>
      <c r="L44" s="45">
        <v>45354</v>
      </c>
      <c r="M44" s="45">
        <v>48984</v>
      </c>
      <c r="N44" s="45">
        <f>M44-L44</f>
        <v>3630</v>
      </c>
      <c r="O44" s="18">
        <f t="shared" si="16"/>
        <v>0.0800370419367641</v>
      </c>
    </row>
    <row r="45" ht="21" customHeight="1" spans="1:15">
      <c r="A45" s="1"/>
      <c r="B45" s="51"/>
      <c r="C45" s="51"/>
      <c r="D45" s="51"/>
      <c r="E45" s="18"/>
      <c r="F45" s="102" t="s">
        <v>122</v>
      </c>
      <c r="G45" s="51">
        <v>5175</v>
      </c>
      <c r="H45" s="51">
        <v>2394</v>
      </c>
      <c r="I45" s="51">
        <f t="shared" si="13"/>
        <v>-2781</v>
      </c>
      <c r="J45" s="5">
        <f t="shared" si="14"/>
        <v>-0.537391304347826</v>
      </c>
      <c r="K45" s="21" t="s">
        <v>123</v>
      </c>
      <c r="L45" s="45">
        <v>8177</v>
      </c>
      <c r="M45" s="45">
        <v>6784</v>
      </c>
      <c r="N45" s="45">
        <f>M45-L45</f>
        <v>-1393</v>
      </c>
      <c r="O45" s="18">
        <f t="shared" si="16"/>
        <v>-0.170355876238229</v>
      </c>
    </row>
    <row r="46" ht="15.95" customHeight="1" spans="1:15">
      <c r="A46" s="28" t="s">
        <v>124</v>
      </c>
      <c r="B46" s="52">
        <f>SUM(B5,B33,B37:B40)</f>
        <v>474963</v>
      </c>
      <c r="C46" s="52">
        <f>SUM(C5,C33,C37:C40)</f>
        <v>539289</v>
      </c>
      <c r="D46" s="88">
        <f>C46-B46</f>
        <v>64326</v>
      </c>
      <c r="E46" s="18">
        <f>D46/B46</f>
        <v>0.13543370746774</v>
      </c>
      <c r="F46" s="36" t="s">
        <v>125</v>
      </c>
      <c r="G46" s="52">
        <v>202618</v>
      </c>
      <c r="H46" s="52">
        <v>202984</v>
      </c>
      <c r="I46" s="52">
        <f t="shared" ref="H46:I46" si="17">SUM(I39:I40)</f>
        <v>366</v>
      </c>
      <c r="J46" s="18">
        <f t="shared" si="14"/>
        <v>0.00180635481546556</v>
      </c>
      <c r="K46" s="21" t="s">
        <v>126</v>
      </c>
      <c r="L46" s="45">
        <v>71330</v>
      </c>
      <c r="M46" s="45">
        <v>78114</v>
      </c>
      <c r="N46" s="45">
        <f>M46-L46</f>
        <v>6784</v>
      </c>
      <c r="O46" s="18">
        <f t="shared" si="16"/>
        <v>0.0951072480022431</v>
      </c>
    </row>
  </sheetData>
  <mergeCells count="8">
    <mergeCell ref="A1:O1"/>
    <mergeCell ref="A3:E3"/>
    <mergeCell ref="F3:J3"/>
    <mergeCell ref="K3:O3"/>
    <mergeCell ref="K15:O15"/>
    <mergeCell ref="K34:O34"/>
    <mergeCell ref="F37:J37"/>
    <mergeCell ref="K41:O41"/>
  </mergeCells>
  <pageMargins left="0.393055555555556" right="0" top="0.393055555555556" bottom="0.393055555555556" header="0.511805555555556" footer="0.511805555555556"/>
  <pageSetup paperSize="9" scale="61" orientation="landscape"/>
  <headerFooter alignWithMargins="0"/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25" workbookViewId="0">
      <selection activeCell="M31" sqref="M22 M31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226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227</v>
      </c>
      <c r="C4" s="15" t="s">
        <v>205</v>
      </c>
      <c r="D4" s="15" t="s">
        <v>9</v>
      </c>
      <c r="E4" s="15" t="s">
        <v>10</v>
      </c>
      <c r="F4" s="15" t="s">
        <v>6</v>
      </c>
      <c r="G4" s="15" t="s">
        <v>227</v>
      </c>
      <c r="H4" s="15" t="s">
        <v>205</v>
      </c>
      <c r="I4" s="15" t="s">
        <v>11</v>
      </c>
      <c r="J4" s="15" t="s">
        <v>10</v>
      </c>
      <c r="K4" s="15" t="s">
        <v>6</v>
      </c>
      <c r="L4" s="15" t="s">
        <v>227</v>
      </c>
      <c r="M4" s="15" t="s">
        <v>205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SUM(B6,B22)</f>
        <v>107501</v>
      </c>
      <c r="C5" s="52">
        <f>SUM(C6,C22)</f>
        <v>111028</v>
      </c>
      <c r="D5" s="52">
        <f>C5-B5</f>
        <v>3527</v>
      </c>
      <c r="E5" s="18">
        <f t="shared" ref="E5:E28" si="0">D5/B5</f>
        <v>0.0328089971256081</v>
      </c>
      <c r="F5" s="21" t="s">
        <v>13</v>
      </c>
      <c r="G5" s="19">
        <f>SUM(G6:G24)</f>
        <v>315262</v>
      </c>
      <c r="H5" s="19">
        <f>SUM(H6:H24)</f>
        <v>320637</v>
      </c>
      <c r="I5" s="19">
        <f>SUM(I6:I24)</f>
        <v>5375</v>
      </c>
      <c r="J5" s="18">
        <f t="shared" ref="J5:J25" si="1">I5/G5</f>
        <v>0.017049311366419</v>
      </c>
      <c r="K5" s="46" t="s">
        <v>14</v>
      </c>
      <c r="L5" s="52">
        <f>SUM(L6:L11)</f>
        <v>57039</v>
      </c>
      <c r="M5" s="52">
        <f>SUM(M6:M10)</f>
        <v>62231</v>
      </c>
      <c r="N5" s="52">
        <f>SUM(N6:N11)</f>
        <v>5192</v>
      </c>
      <c r="O5" s="18">
        <f t="shared" ref="O5:O10" si="2">N5/L5</f>
        <v>0.0910254387349007</v>
      </c>
    </row>
    <row r="6" ht="17.25" customHeight="1" spans="1:15">
      <c r="A6" s="21" t="s">
        <v>15</v>
      </c>
      <c r="B6" s="52">
        <f>SUM(B7,B10:B21)</f>
        <v>68108</v>
      </c>
      <c r="C6" s="52">
        <f>SUM(C7,C10:C21)</f>
        <v>71161</v>
      </c>
      <c r="D6" s="52">
        <f>SUM(D7,D10:D21)</f>
        <v>3053</v>
      </c>
      <c r="E6" s="18">
        <f t="shared" si="0"/>
        <v>0.04482586480296</v>
      </c>
      <c r="F6" s="1" t="s">
        <v>228</v>
      </c>
      <c r="G6" s="22">
        <v>21049</v>
      </c>
      <c r="H6" s="22">
        <v>28951</v>
      </c>
      <c r="I6" s="51">
        <f t="shared" ref="I6:I33" si="3">H6-G6</f>
        <v>7902</v>
      </c>
      <c r="J6" s="5">
        <f t="shared" si="1"/>
        <v>0.375409758183287</v>
      </c>
      <c r="K6" s="42" t="s">
        <v>17</v>
      </c>
      <c r="L6" s="51">
        <v>53473</v>
      </c>
      <c r="M6" s="51">
        <v>58311</v>
      </c>
      <c r="N6" s="51">
        <f t="shared" ref="N6:N13" si="4">M6-L6</f>
        <v>4838</v>
      </c>
      <c r="O6" s="5">
        <f t="shared" si="2"/>
        <v>0.0904755671086343</v>
      </c>
    </row>
    <row r="7" ht="17.25" customHeight="1" spans="1:15">
      <c r="A7" s="1" t="s">
        <v>18</v>
      </c>
      <c r="B7" s="51">
        <f>SUM(B8:B9)</f>
        <v>22805</v>
      </c>
      <c r="C7" s="51">
        <f>SUM(C8:C9)</f>
        <v>34300</v>
      </c>
      <c r="D7" s="51">
        <f>SUM(D8:D9)</f>
        <v>11495</v>
      </c>
      <c r="E7" s="5">
        <f t="shared" si="0"/>
        <v>0.504056128042096</v>
      </c>
      <c r="F7" s="1" t="s">
        <v>229</v>
      </c>
      <c r="G7" s="22">
        <v>367</v>
      </c>
      <c r="H7" s="22">
        <v>251</v>
      </c>
      <c r="I7" s="51">
        <f t="shared" si="3"/>
        <v>-116</v>
      </c>
      <c r="J7" s="5">
        <f t="shared" si="1"/>
        <v>-0.316076294277929</v>
      </c>
      <c r="K7" s="42" t="s">
        <v>230</v>
      </c>
      <c r="L7" s="51">
        <v>845</v>
      </c>
      <c r="M7" s="51">
        <v>182</v>
      </c>
      <c r="N7" s="51">
        <f t="shared" si="4"/>
        <v>-663</v>
      </c>
      <c r="O7" s="5">
        <f t="shared" si="2"/>
        <v>-0.784615384615385</v>
      </c>
    </row>
    <row r="8" ht="17.25" customHeight="1" spans="1:15">
      <c r="A8" s="1" t="s">
        <v>21</v>
      </c>
      <c r="B8" s="51">
        <v>16787</v>
      </c>
      <c r="C8" s="51">
        <v>24559</v>
      </c>
      <c r="D8" s="51">
        <f t="shared" ref="D8:D21" si="5">C8-B8</f>
        <v>7772</v>
      </c>
      <c r="E8" s="5">
        <f t="shared" si="0"/>
        <v>0.462977303866087</v>
      </c>
      <c r="F8" s="1" t="s">
        <v>231</v>
      </c>
      <c r="G8" s="22">
        <v>12119</v>
      </c>
      <c r="H8" s="22">
        <v>12929</v>
      </c>
      <c r="I8" s="51">
        <f t="shared" si="3"/>
        <v>810</v>
      </c>
      <c r="J8" s="5">
        <f t="shared" si="1"/>
        <v>0.0668371977885964</v>
      </c>
      <c r="K8" s="42" t="s">
        <v>232</v>
      </c>
      <c r="L8" s="51">
        <v>1678</v>
      </c>
      <c r="M8" s="51">
        <v>2532</v>
      </c>
      <c r="N8" s="51">
        <f t="shared" si="4"/>
        <v>854</v>
      </c>
      <c r="O8" s="5">
        <f t="shared" si="2"/>
        <v>0.508939213349225</v>
      </c>
    </row>
    <row r="9" ht="17.25" customHeight="1" spans="1:15">
      <c r="A9" s="1" t="s">
        <v>24</v>
      </c>
      <c r="B9" s="51">
        <v>6018</v>
      </c>
      <c r="C9" s="51">
        <v>9741</v>
      </c>
      <c r="D9" s="51">
        <f t="shared" si="5"/>
        <v>3723</v>
      </c>
      <c r="E9" s="5">
        <f t="shared" si="0"/>
        <v>0.61864406779661</v>
      </c>
      <c r="F9" s="1" t="s">
        <v>233</v>
      </c>
      <c r="G9" s="22">
        <v>71959</v>
      </c>
      <c r="H9" s="22">
        <v>78149</v>
      </c>
      <c r="I9" s="51">
        <f t="shared" si="3"/>
        <v>6190</v>
      </c>
      <c r="J9" s="5">
        <f t="shared" si="1"/>
        <v>0.0860212065203797</v>
      </c>
      <c r="K9" s="42" t="s">
        <v>234</v>
      </c>
      <c r="L9" s="51">
        <v>487</v>
      </c>
      <c r="M9" s="51">
        <v>637</v>
      </c>
      <c r="N9" s="51">
        <f t="shared" si="4"/>
        <v>150</v>
      </c>
      <c r="O9" s="5">
        <f t="shared" si="2"/>
        <v>0.308008213552361</v>
      </c>
    </row>
    <row r="10" ht="17.25" customHeight="1" spans="1:15">
      <c r="A10" s="1" t="s">
        <v>27</v>
      </c>
      <c r="B10" s="51">
        <v>8371</v>
      </c>
      <c r="C10" s="51">
        <v>125</v>
      </c>
      <c r="D10" s="51">
        <f t="shared" si="5"/>
        <v>-8246</v>
      </c>
      <c r="E10" s="5">
        <f t="shared" si="0"/>
        <v>-0.985067494922948</v>
      </c>
      <c r="F10" s="1" t="s">
        <v>235</v>
      </c>
      <c r="G10" s="22">
        <v>2712</v>
      </c>
      <c r="H10" s="22">
        <v>2831</v>
      </c>
      <c r="I10" s="51">
        <f t="shared" si="3"/>
        <v>119</v>
      </c>
      <c r="J10" s="5">
        <f t="shared" si="1"/>
        <v>0.0438790560471976</v>
      </c>
      <c r="K10" s="42" t="s">
        <v>236</v>
      </c>
      <c r="L10" s="51">
        <v>486</v>
      </c>
      <c r="M10" s="51">
        <v>569</v>
      </c>
      <c r="N10" s="51">
        <f t="shared" si="4"/>
        <v>83</v>
      </c>
      <c r="O10" s="5">
        <f t="shared" si="2"/>
        <v>0.170781893004115</v>
      </c>
    </row>
    <row r="11" ht="17.25" customHeight="1" spans="1:15">
      <c r="A11" s="1" t="s">
        <v>30</v>
      </c>
      <c r="B11" s="51">
        <v>12149</v>
      </c>
      <c r="C11" s="51">
        <v>9564</v>
      </c>
      <c r="D11" s="51">
        <f t="shared" si="5"/>
        <v>-2585</v>
      </c>
      <c r="E11" s="5">
        <f t="shared" si="0"/>
        <v>-0.212774713968228</v>
      </c>
      <c r="F11" s="1" t="s">
        <v>237</v>
      </c>
      <c r="G11" s="22">
        <v>3088</v>
      </c>
      <c r="H11" s="22">
        <v>3170</v>
      </c>
      <c r="I11" s="51">
        <f t="shared" si="3"/>
        <v>82</v>
      </c>
      <c r="J11" s="5">
        <f t="shared" si="1"/>
        <v>0.0265544041450777</v>
      </c>
      <c r="K11" s="42" t="s">
        <v>238</v>
      </c>
      <c r="L11" s="51">
        <v>70</v>
      </c>
      <c r="M11" s="51"/>
      <c r="N11" s="51">
        <f t="shared" si="4"/>
        <v>-70</v>
      </c>
      <c r="O11" s="5"/>
    </row>
    <row r="12" ht="17.25" customHeight="1" spans="1:15">
      <c r="A12" s="1" t="s">
        <v>33</v>
      </c>
      <c r="B12" s="51">
        <v>4597</v>
      </c>
      <c r="C12" s="51">
        <v>3974</v>
      </c>
      <c r="D12" s="51">
        <f t="shared" si="5"/>
        <v>-623</v>
      </c>
      <c r="E12" s="5">
        <f t="shared" si="0"/>
        <v>-0.135523167283011</v>
      </c>
      <c r="F12" s="1" t="s">
        <v>239</v>
      </c>
      <c r="G12" s="22">
        <v>28457</v>
      </c>
      <c r="H12" s="22">
        <v>32787</v>
      </c>
      <c r="I12" s="51">
        <f t="shared" si="3"/>
        <v>4330</v>
      </c>
      <c r="J12" s="5">
        <f t="shared" si="1"/>
        <v>0.152159398390554</v>
      </c>
      <c r="K12" s="21" t="s">
        <v>32</v>
      </c>
      <c r="L12" s="85">
        <v>5804</v>
      </c>
      <c r="M12" s="85">
        <v>5471</v>
      </c>
      <c r="N12" s="52">
        <f t="shared" si="4"/>
        <v>-333</v>
      </c>
      <c r="O12" s="18">
        <f>N12/L12</f>
        <v>-0.0573742246726396</v>
      </c>
    </row>
    <row r="13" ht="17.25" customHeight="1" spans="1:15">
      <c r="A13" s="1" t="s">
        <v>36</v>
      </c>
      <c r="B13" s="51">
        <v>2035</v>
      </c>
      <c r="C13" s="51">
        <v>3610</v>
      </c>
      <c r="D13" s="51">
        <f t="shared" si="5"/>
        <v>1575</v>
      </c>
      <c r="E13" s="5">
        <f t="shared" si="0"/>
        <v>0.773955773955774</v>
      </c>
      <c r="F13" s="1" t="s">
        <v>240</v>
      </c>
      <c r="G13" s="22">
        <v>43142</v>
      </c>
      <c r="H13" s="22">
        <v>49814</v>
      </c>
      <c r="I13" s="51">
        <f t="shared" si="3"/>
        <v>6672</v>
      </c>
      <c r="J13" s="5">
        <f t="shared" si="1"/>
        <v>0.154652079180381</v>
      </c>
      <c r="K13" s="21" t="s">
        <v>35</v>
      </c>
      <c r="L13" s="85">
        <v>10388</v>
      </c>
      <c r="M13" s="85">
        <v>10336</v>
      </c>
      <c r="N13" s="85">
        <f t="shared" si="4"/>
        <v>-52</v>
      </c>
      <c r="O13" s="18">
        <f>N13/L13</f>
        <v>-0.00500577589526377</v>
      </c>
    </row>
    <row r="14" ht="17.25" customHeight="1" spans="1:15">
      <c r="A14" s="1" t="s">
        <v>39</v>
      </c>
      <c r="B14" s="51">
        <v>2824</v>
      </c>
      <c r="C14" s="51">
        <v>3304</v>
      </c>
      <c r="D14" s="51">
        <f t="shared" si="5"/>
        <v>480</v>
      </c>
      <c r="E14" s="5">
        <f t="shared" si="0"/>
        <v>0.169971671388102</v>
      </c>
      <c r="F14" s="1" t="s">
        <v>241</v>
      </c>
      <c r="G14" s="22">
        <v>10435</v>
      </c>
      <c r="H14" s="22">
        <v>10223</v>
      </c>
      <c r="I14" s="51">
        <f t="shared" si="3"/>
        <v>-212</v>
      </c>
      <c r="J14" s="5">
        <f t="shared" si="1"/>
        <v>-0.0203162434115956</v>
      </c>
      <c r="K14" s="21" t="s">
        <v>181</v>
      </c>
      <c r="L14" s="85"/>
      <c r="M14" s="85">
        <v>36</v>
      </c>
      <c r="N14" s="85"/>
      <c r="O14" s="18"/>
    </row>
    <row r="15" ht="17.25" customHeight="1" spans="1:15">
      <c r="A15" s="1" t="s">
        <v>42</v>
      </c>
      <c r="B15" s="51">
        <v>1523</v>
      </c>
      <c r="C15" s="51">
        <v>1884</v>
      </c>
      <c r="D15" s="51">
        <f t="shared" si="5"/>
        <v>361</v>
      </c>
      <c r="E15" s="5">
        <f t="shared" si="0"/>
        <v>0.237032173342088</v>
      </c>
      <c r="F15" s="1" t="s">
        <v>242</v>
      </c>
      <c r="G15" s="22">
        <v>30484</v>
      </c>
      <c r="H15" s="22">
        <v>10399</v>
      </c>
      <c r="I15" s="51">
        <f t="shared" si="3"/>
        <v>-20085</v>
      </c>
      <c r="J15" s="5">
        <f t="shared" si="1"/>
        <v>-0.65887022700433</v>
      </c>
      <c r="K15" s="46" t="s">
        <v>41</v>
      </c>
      <c r="L15" s="85">
        <f>SUM(L13,L12,L5,L14)</f>
        <v>73231</v>
      </c>
      <c r="M15" s="85">
        <f>SUM(M13,M12,M5,M14)</f>
        <v>78074</v>
      </c>
      <c r="N15" s="85">
        <f>M15-L15</f>
        <v>4843</v>
      </c>
      <c r="O15" s="18">
        <f>N15/L15</f>
        <v>0.0661331949584193</v>
      </c>
    </row>
    <row r="16" ht="17.25" customHeight="1" spans="1:15">
      <c r="A16" s="1" t="s">
        <v>45</v>
      </c>
      <c r="B16" s="51">
        <v>803</v>
      </c>
      <c r="C16" s="51">
        <v>1099</v>
      </c>
      <c r="D16" s="51">
        <f t="shared" si="5"/>
        <v>296</v>
      </c>
      <c r="E16" s="5">
        <f t="shared" si="0"/>
        <v>0.368617683686177</v>
      </c>
      <c r="F16" s="1" t="s">
        <v>243</v>
      </c>
      <c r="G16" s="22">
        <v>46158</v>
      </c>
      <c r="H16" s="22">
        <v>51379</v>
      </c>
      <c r="I16" s="51">
        <f t="shared" si="3"/>
        <v>5221</v>
      </c>
      <c r="J16" s="5">
        <f t="shared" si="1"/>
        <v>0.11311148663287</v>
      </c>
      <c r="K16" s="9" t="s">
        <v>44</v>
      </c>
      <c r="L16" s="10"/>
      <c r="M16" s="10"/>
      <c r="N16" s="10"/>
      <c r="O16" s="11"/>
    </row>
    <row r="17" ht="17.25" customHeight="1" spans="1:15">
      <c r="A17" s="1" t="s">
        <v>47</v>
      </c>
      <c r="B17" s="51">
        <v>2074</v>
      </c>
      <c r="C17" s="51">
        <v>2513</v>
      </c>
      <c r="D17" s="51">
        <f t="shared" si="5"/>
        <v>439</v>
      </c>
      <c r="E17" s="5">
        <f t="shared" si="0"/>
        <v>0.211668273866924</v>
      </c>
      <c r="F17" s="1" t="s">
        <v>244</v>
      </c>
      <c r="G17" s="22">
        <v>5533</v>
      </c>
      <c r="H17" s="22">
        <v>7672</v>
      </c>
      <c r="I17" s="51">
        <f t="shared" si="3"/>
        <v>2139</v>
      </c>
      <c r="J17" s="5">
        <f t="shared" si="1"/>
        <v>0.386589553587566</v>
      </c>
      <c r="K17" s="15" t="s">
        <v>6</v>
      </c>
      <c r="L17" s="15" t="s">
        <v>227</v>
      </c>
      <c r="M17" s="15" t="s">
        <v>205</v>
      </c>
      <c r="N17" s="15" t="s">
        <v>9</v>
      </c>
      <c r="O17" s="15" t="s">
        <v>10</v>
      </c>
    </row>
    <row r="18" ht="17.25" customHeight="1" spans="1:15">
      <c r="A18" s="1" t="s">
        <v>50</v>
      </c>
      <c r="B18" s="51">
        <v>5705</v>
      </c>
      <c r="C18" s="51">
        <v>5711</v>
      </c>
      <c r="D18" s="51">
        <f t="shared" si="5"/>
        <v>6</v>
      </c>
      <c r="E18" s="5">
        <f t="shared" si="0"/>
        <v>0.00105170902716915</v>
      </c>
      <c r="F18" s="1" t="s">
        <v>245</v>
      </c>
      <c r="G18" s="22">
        <v>5477</v>
      </c>
      <c r="H18" s="22">
        <v>4939</v>
      </c>
      <c r="I18" s="51">
        <f t="shared" si="3"/>
        <v>-538</v>
      </c>
      <c r="J18" s="5">
        <f t="shared" si="1"/>
        <v>-0.0982289574584627</v>
      </c>
      <c r="K18" s="46" t="s">
        <v>49</v>
      </c>
      <c r="L18" s="52">
        <f>SUM(L19:L31)</f>
        <v>53674</v>
      </c>
      <c r="M18" s="52">
        <f>SUM(M19:M31)</f>
        <v>35744</v>
      </c>
      <c r="N18" s="88">
        <f>SUM(N19:N31)</f>
        <v>-17930</v>
      </c>
      <c r="O18" s="18">
        <f t="shared" ref="O18:O23" si="6">N18/L18</f>
        <v>-0.334053731788203</v>
      </c>
    </row>
    <row r="19" ht="17.25" customHeight="1" spans="1:15">
      <c r="A19" s="1" t="s">
        <v>53</v>
      </c>
      <c r="B19" s="51">
        <v>1200</v>
      </c>
      <c r="C19" s="51">
        <v>1277</v>
      </c>
      <c r="D19" s="51">
        <f t="shared" si="5"/>
        <v>77</v>
      </c>
      <c r="E19" s="5">
        <f t="shared" si="0"/>
        <v>0.0641666666666667</v>
      </c>
      <c r="F19" s="1" t="s">
        <v>246</v>
      </c>
      <c r="G19" s="22">
        <v>2906</v>
      </c>
      <c r="H19" s="22">
        <v>1480</v>
      </c>
      <c r="I19" s="51">
        <f t="shared" si="3"/>
        <v>-1426</v>
      </c>
      <c r="J19" s="5">
        <f t="shared" si="1"/>
        <v>-0.49070887818307</v>
      </c>
      <c r="K19" s="42" t="s">
        <v>52</v>
      </c>
      <c r="L19" s="51">
        <v>678</v>
      </c>
      <c r="M19" s="51">
        <v>560</v>
      </c>
      <c r="N19" s="51">
        <f t="shared" ref="N19:N33" si="7">M19-L19</f>
        <v>-118</v>
      </c>
      <c r="O19" s="5">
        <f t="shared" si="6"/>
        <v>-0.174041297935103</v>
      </c>
    </row>
    <row r="20" ht="17.25" customHeight="1" spans="1:15">
      <c r="A20" s="1" t="s">
        <v>247</v>
      </c>
      <c r="B20" s="51">
        <v>612</v>
      </c>
      <c r="C20" s="51">
        <v>546</v>
      </c>
      <c r="D20" s="51">
        <f t="shared" si="5"/>
        <v>-66</v>
      </c>
      <c r="E20" s="5">
        <f t="shared" si="0"/>
        <v>-0.107843137254902</v>
      </c>
      <c r="F20" s="1" t="s">
        <v>248</v>
      </c>
      <c r="G20" s="22">
        <v>2796</v>
      </c>
      <c r="H20" s="22">
        <v>3777</v>
      </c>
      <c r="I20" s="51">
        <f t="shared" si="3"/>
        <v>981</v>
      </c>
      <c r="J20" s="5">
        <f t="shared" si="1"/>
        <v>0.350858369098712</v>
      </c>
      <c r="K20" s="42" t="s">
        <v>249</v>
      </c>
      <c r="L20" s="51"/>
      <c r="M20" s="51">
        <v>50</v>
      </c>
      <c r="N20" s="51">
        <f t="shared" si="7"/>
        <v>50</v>
      </c>
      <c r="O20" s="5"/>
    </row>
    <row r="21" ht="17.25" customHeight="1" spans="1:15">
      <c r="A21" s="1" t="s">
        <v>250</v>
      </c>
      <c r="B21" s="51">
        <v>3410</v>
      </c>
      <c r="C21" s="51">
        <v>3254</v>
      </c>
      <c r="D21" s="51">
        <f t="shared" si="5"/>
        <v>-156</v>
      </c>
      <c r="E21" s="5">
        <f t="shared" si="0"/>
        <v>-0.0457478005865103</v>
      </c>
      <c r="F21" s="1" t="s">
        <v>251</v>
      </c>
      <c r="G21" s="22">
        <v>17375</v>
      </c>
      <c r="H21" s="22">
        <v>8969</v>
      </c>
      <c r="I21" s="51">
        <f t="shared" si="3"/>
        <v>-8406</v>
      </c>
      <c r="J21" s="5">
        <f t="shared" si="1"/>
        <v>-0.483798561151079</v>
      </c>
      <c r="K21" s="42" t="s">
        <v>252</v>
      </c>
      <c r="L21" s="51">
        <v>38999</v>
      </c>
      <c r="M21" s="51">
        <v>27313</v>
      </c>
      <c r="N21" s="51">
        <f t="shared" si="7"/>
        <v>-11686</v>
      </c>
      <c r="O21" s="5">
        <f t="shared" si="6"/>
        <v>-0.299648708941255</v>
      </c>
    </row>
    <row r="22" ht="17.25" customHeight="1" spans="1:15">
      <c r="A22" s="21" t="s">
        <v>68</v>
      </c>
      <c r="B22" s="52">
        <f>SUM(B23,B25:B30)</f>
        <v>39393</v>
      </c>
      <c r="C22" s="52">
        <f>SUM(C23,C25:C30)</f>
        <v>39867</v>
      </c>
      <c r="D22" s="52">
        <f>SUM(D23,D25:D30)</f>
        <v>474</v>
      </c>
      <c r="E22" s="18">
        <f t="shared" si="0"/>
        <v>0.0120325946234103</v>
      </c>
      <c r="F22" s="1" t="s">
        <v>253</v>
      </c>
      <c r="G22" s="22">
        <v>1774</v>
      </c>
      <c r="H22" s="22">
        <v>1546</v>
      </c>
      <c r="I22" s="51">
        <f t="shared" si="3"/>
        <v>-228</v>
      </c>
      <c r="J22" s="5">
        <f t="shared" si="1"/>
        <v>-0.128523111612176</v>
      </c>
      <c r="K22" s="42" t="s">
        <v>254</v>
      </c>
      <c r="L22" s="51">
        <v>602</v>
      </c>
      <c r="M22" s="51">
        <v>425</v>
      </c>
      <c r="N22" s="51">
        <f t="shared" si="7"/>
        <v>-177</v>
      </c>
      <c r="O22" s="5">
        <f t="shared" si="6"/>
        <v>-0.294019933554817</v>
      </c>
    </row>
    <row r="23" ht="17.25" customHeight="1" spans="1:15">
      <c r="A23" s="21" t="s">
        <v>71</v>
      </c>
      <c r="B23" s="52">
        <v>3630</v>
      </c>
      <c r="C23" s="52">
        <v>4732</v>
      </c>
      <c r="D23" s="52">
        <f t="shared" ref="D23:D38" si="8">C23-B23</f>
        <v>1102</v>
      </c>
      <c r="E23" s="18">
        <f t="shared" si="0"/>
        <v>0.303581267217631</v>
      </c>
      <c r="F23" s="1" t="s">
        <v>255</v>
      </c>
      <c r="G23" s="22">
        <v>9043</v>
      </c>
      <c r="H23" s="22">
        <v>10649</v>
      </c>
      <c r="I23" s="51">
        <f t="shared" si="3"/>
        <v>1606</v>
      </c>
      <c r="J23" s="5">
        <f t="shared" si="1"/>
        <v>0.17759593055402</v>
      </c>
      <c r="K23" s="42" t="s">
        <v>256</v>
      </c>
      <c r="L23" s="51">
        <v>520</v>
      </c>
      <c r="M23" s="51">
        <v>588</v>
      </c>
      <c r="N23" s="51">
        <f t="shared" si="7"/>
        <v>68</v>
      </c>
      <c r="O23" s="5">
        <f t="shared" si="6"/>
        <v>0.130769230769231</v>
      </c>
    </row>
    <row r="24" ht="17.25" customHeight="1" spans="1:15">
      <c r="A24" s="1" t="s">
        <v>74</v>
      </c>
      <c r="B24" s="51">
        <v>1848</v>
      </c>
      <c r="C24" s="51">
        <v>2375</v>
      </c>
      <c r="D24" s="51">
        <f t="shared" si="8"/>
        <v>527</v>
      </c>
      <c r="E24" s="5">
        <f t="shared" si="0"/>
        <v>0.28517316017316</v>
      </c>
      <c r="F24" s="1" t="s">
        <v>257</v>
      </c>
      <c r="G24" s="22">
        <v>388</v>
      </c>
      <c r="H24" s="22">
        <v>722</v>
      </c>
      <c r="I24" s="51">
        <f t="shared" si="3"/>
        <v>334</v>
      </c>
      <c r="J24" s="5">
        <f t="shared" si="1"/>
        <v>0.860824742268041</v>
      </c>
      <c r="K24" s="42" t="s">
        <v>258</v>
      </c>
      <c r="L24" s="51"/>
      <c r="M24" s="51">
        <v>14</v>
      </c>
      <c r="N24" s="51">
        <f t="shared" si="7"/>
        <v>14</v>
      </c>
      <c r="O24" s="5"/>
    </row>
    <row r="25" ht="17.25" customHeight="1" spans="1:15">
      <c r="A25" s="1" t="s">
        <v>77</v>
      </c>
      <c r="B25" s="51">
        <v>10179</v>
      </c>
      <c r="C25" s="51">
        <v>6382</v>
      </c>
      <c r="D25" s="51">
        <f t="shared" si="8"/>
        <v>-3797</v>
      </c>
      <c r="E25" s="5">
        <f t="shared" si="0"/>
        <v>-0.37302289026427</v>
      </c>
      <c r="F25" s="26" t="s">
        <v>78</v>
      </c>
      <c r="G25" s="69">
        <f>SUM(G26:G27)</f>
        <v>1761</v>
      </c>
      <c r="H25" s="69">
        <f>SUM(H26:H27)</f>
        <v>4089</v>
      </c>
      <c r="I25" s="52">
        <f t="shared" si="3"/>
        <v>2328</v>
      </c>
      <c r="J25" s="18">
        <f t="shared" si="1"/>
        <v>1.32197614991482</v>
      </c>
      <c r="K25" s="42" t="s">
        <v>259</v>
      </c>
      <c r="L25" s="51">
        <v>281</v>
      </c>
      <c r="M25" s="51">
        <v>40</v>
      </c>
      <c r="N25" s="51">
        <f t="shared" si="7"/>
        <v>-241</v>
      </c>
      <c r="O25" s="5">
        <f t="shared" ref="O25:O34" si="9">N25/L25</f>
        <v>-0.857651245551601</v>
      </c>
    </row>
    <row r="26" ht="17.25" customHeight="1" spans="1:15">
      <c r="A26" s="1" t="s">
        <v>80</v>
      </c>
      <c r="B26" s="51">
        <v>4364</v>
      </c>
      <c r="C26" s="51">
        <v>2673</v>
      </c>
      <c r="D26" s="51">
        <f t="shared" si="8"/>
        <v>-1691</v>
      </c>
      <c r="E26" s="5">
        <f t="shared" si="0"/>
        <v>-0.387488542621448</v>
      </c>
      <c r="F26" s="1" t="s">
        <v>81</v>
      </c>
      <c r="G26" s="22"/>
      <c r="H26" s="22">
        <v>2861</v>
      </c>
      <c r="I26" s="51">
        <f t="shared" si="3"/>
        <v>2861</v>
      </c>
      <c r="J26" s="18"/>
      <c r="K26" s="42" t="s">
        <v>260</v>
      </c>
      <c r="L26" s="51">
        <v>5786</v>
      </c>
      <c r="M26" s="51"/>
      <c r="N26" s="51">
        <f t="shared" si="7"/>
        <v>-5786</v>
      </c>
      <c r="O26" s="5">
        <f t="shared" si="9"/>
        <v>-1</v>
      </c>
    </row>
    <row r="27" ht="17.25" customHeight="1" spans="1:15">
      <c r="A27" s="1" t="s">
        <v>83</v>
      </c>
      <c r="B27" s="51">
        <v>4900</v>
      </c>
      <c r="C27" s="51">
        <v>18450</v>
      </c>
      <c r="D27" s="51">
        <f t="shared" si="8"/>
        <v>13550</v>
      </c>
      <c r="E27" s="5">
        <f t="shared" si="0"/>
        <v>2.76530612244898</v>
      </c>
      <c r="F27" s="1" t="s">
        <v>84</v>
      </c>
      <c r="G27" s="22">
        <v>1761</v>
      </c>
      <c r="H27" s="22">
        <v>1228</v>
      </c>
      <c r="I27" s="51">
        <f t="shared" si="3"/>
        <v>-533</v>
      </c>
      <c r="J27" s="5">
        <f t="shared" ref="J27:J32" si="10">I27/G27</f>
        <v>-0.30266893810335</v>
      </c>
      <c r="K27" s="42" t="s">
        <v>261</v>
      </c>
      <c r="L27" s="51">
        <v>1515</v>
      </c>
      <c r="M27" s="51">
        <v>1660</v>
      </c>
      <c r="N27" s="51">
        <f t="shared" si="7"/>
        <v>145</v>
      </c>
      <c r="O27" s="5">
        <f t="shared" si="9"/>
        <v>0.0957095709570957</v>
      </c>
    </row>
    <row r="28" ht="17.25" customHeight="1" spans="1:15">
      <c r="A28" s="1" t="s">
        <v>86</v>
      </c>
      <c r="B28" s="51">
        <v>1559</v>
      </c>
      <c r="C28" s="51">
        <v>1009</v>
      </c>
      <c r="D28" s="51">
        <f t="shared" si="8"/>
        <v>-550</v>
      </c>
      <c r="E28" s="5">
        <f t="shared" si="0"/>
        <v>-0.352790250160359</v>
      </c>
      <c r="F28" s="26" t="s">
        <v>87</v>
      </c>
      <c r="G28" s="19">
        <v>12080</v>
      </c>
      <c r="H28" s="19">
        <v>64856</v>
      </c>
      <c r="I28" s="52">
        <f t="shared" si="3"/>
        <v>52776</v>
      </c>
      <c r="J28" s="103">
        <f t="shared" si="10"/>
        <v>4.36887417218543</v>
      </c>
      <c r="K28" s="42" t="s">
        <v>262</v>
      </c>
      <c r="L28" s="51">
        <v>551</v>
      </c>
      <c r="M28" s="51">
        <v>551</v>
      </c>
      <c r="N28" s="51">
        <f t="shared" si="7"/>
        <v>0</v>
      </c>
      <c r="O28" s="5">
        <f t="shared" si="9"/>
        <v>0</v>
      </c>
    </row>
    <row r="29" ht="17.25" customHeight="1" spans="1:15">
      <c r="A29" s="1" t="s">
        <v>89</v>
      </c>
      <c r="B29" s="51">
        <v>44</v>
      </c>
      <c r="C29" s="51">
        <v>55</v>
      </c>
      <c r="D29" s="51">
        <f t="shared" si="8"/>
        <v>11</v>
      </c>
      <c r="E29" s="5"/>
      <c r="F29" s="26" t="s">
        <v>90</v>
      </c>
      <c r="G29" s="19">
        <v>6503</v>
      </c>
      <c r="H29" s="19">
        <v>10230</v>
      </c>
      <c r="I29" s="52">
        <f t="shared" si="3"/>
        <v>3727</v>
      </c>
      <c r="J29" s="97">
        <f t="shared" si="10"/>
        <v>0.573120098416116</v>
      </c>
      <c r="K29" s="42" t="s">
        <v>263</v>
      </c>
      <c r="L29" s="51">
        <v>2495</v>
      </c>
      <c r="M29" s="51">
        <v>2250</v>
      </c>
      <c r="N29" s="51">
        <f t="shared" si="7"/>
        <v>-245</v>
      </c>
      <c r="O29" s="5">
        <f t="shared" si="9"/>
        <v>-0.0981963927855711</v>
      </c>
    </row>
    <row r="30" ht="17.25" customHeight="1" spans="1:15">
      <c r="A30" s="1" t="s">
        <v>92</v>
      </c>
      <c r="B30" s="51">
        <v>14717</v>
      </c>
      <c r="C30" s="51">
        <v>6566</v>
      </c>
      <c r="D30" s="51">
        <f t="shared" si="8"/>
        <v>-8151</v>
      </c>
      <c r="E30" s="5">
        <f t="shared" ref="E30:E38" si="11">D30/B30</f>
        <v>-0.553849289936808</v>
      </c>
      <c r="F30" s="21" t="s">
        <v>264</v>
      </c>
      <c r="G30" s="19">
        <v>7954</v>
      </c>
      <c r="H30" s="19">
        <v>16495</v>
      </c>
      <c r="I30" s="52">
        <f t="shared" si="3"/>
        <v>8541</v>
      </c>
      <c r="J30" s="18">
        <f t="shared" si="10"/>
        <v>1.07379934624089</v>
      </c>
      <c r="K30" s="42" t="s">
        <v>265</v>
      </c>
      <c r="L30" s="51">
        <v>1755</v>
      </c>
      <c r="M30" s="51">
        <v>2212</v>
      </c>
      <c r="N30" s="51">
        <f t="shared" si="7"/>
        <v>457</v>
      </c>
      <c r="O30" s="5">
        <f t="shared" si="9"/>
        <v>0.26039886039886</v>
      </c>
    </row>
    <row r="31" ht="17.25" customHeight="1" spans="1:15">
      <c r="A31" s="28" t="s">
        <v>94</v>
      </c>
      <c r="B31" s="52">
        <f>SUM(B32:B34)</f>
        <v>162031</v>
      </c>
      <c r="C31" s="52">
        <f>SUM(C32:C34)</f>
        <v>167572</v>
      </c>
      <c r="D31" s="52">
        <f t="shared" si="8"/>
        <v>5541</v>
      </c>
      <c r="E31" s="18">
        <f t="shared" si="11"/>
        <v>0.0341971598027538</v>
      </c>
      <c r="F31" s="1" t="s">
        <v>100</v>
      </c>
      <c r="G31" s="22">
        <v>7954</v>
      </c>
      <c r="H31" s="22">
        <v>16495</v>
      </c>
      <c r="I31" s="51">
        <f t="shared" si="3"/>
        <v>8541</v>
      </c>
      <c r="J31" s="5">
        <f t="shared" si="10"/>
        <v>1.07379934624089</v>
      </c>
      <c r="K31" s="42" t="s">
        <v>266</v>
      </c>
      <c r="L31" s="51">
        <v>492</v>
      </c>
      <c r="M31" s="51">
        <v>81</v>
      </c>
      <c r="N31" s="51">
        <f t="shared" si="7"/>
        <v>-411</v>
      </c>
      <c r="O31" s="5">
        <f t="shared" si="9"/>
        <v>-0.835365853658537</v>
      </c>
    </row>
    <row r="32" ht="17.25" customHeight="1" spans="1:15">
      <c r="A32" s="29" t="s">
        <v>96</v>
      </c>
      <c r="B32" s="51">
        <v>7735</v>
      </c>
      <c r="C32" s="51">
        <v>10690</v>
      </c>
      <c r="D32" s="51">
        <f t="shared" si="8"/>
        <v>2955</v>
      </c>
      <c r="E32" s="5">
        <f t="shared" si="11"/>
        <v>0.382029734970911</v>
      </c>
      <c r="F32" s="21" t="s">
        <v>103</v>
      </c>
      <c r="G32" s="52">
        <f>SUM(G5,G25,G28:G30)</f>
        <v>343560</v>
      </c>
      <c r="H32" s="52">
        <f>SUM(H5,H25,H28:H30)</f>
        <v>416307</v>
      </c>
      <c r="I32" s="52">
        <f t="shared" si="3"/>
        <v>72747</v>
      </c>
      <c r="J32" s="18">
        <f t="shared" si="10"/>
        <v>0.21174467341949</v>
      </c>
      <c r="K32" s="16" t="s">
        <v>267</v>
      </c>
      <c r="L32" s="41">
        <v>9221</v>
      </c>
      <c r="M32" s="41">
        <v>27903</v>
      </c>
      <c r="N32" s="41">
        <f t="shared" si="7"/>
        <v>18682</v>
      </c>
      <c r="O32" s="18">
        <f t="shared" si="9"/>
        <v>2.02602754581933</v>
      </c>
    </row>
    <row r="33" ht="17.25" customHeight="1" spans="1:15">
      <c r="A33" s="29" t="s">
        <v>99</v>
      </c>
      <c r="B33" s="51">
        <v>74564</v>
      </c>
      <c r="C33" s="51">
        <v>80056</v>
      </c>
      <c r="D33" s="51">
        <f t="shared" si="8"/>
        <v>5492</v>
      </c>
      <c r="E33" s="5">
        <f t="shared" si="11"/>
        <v>0.0736548468429805</v>
      </c>
      <c r="F33" s="21"/>
      <c r="G33" s="52"/>
      <c r="H33" s="52"/>
      <c r="I33" s="52">
        <f t="shared" si="3"/>
        <v>0</v>
      </c>
      <c r="J33" s="18"/>
      <c r="K33" s="21" t="s">
        <v>268</v>
      </c>
      <c r="L33" s="52">
        <v>10336</v>
      </c>
      <c r="M33" s="52">
        <v>14427</v>
      </c>
      <c r="N33" s="52">
        <f t="shared" si="7"/>
        <v>4091</v>
      </c>
      <c r="O33" s="18">
        <f t="shared" si="9"/>
        <v>0.395801083591331</v>
      </c>
    </row>
    <row r="34" ht="17.25" customHeight="1" spans="1:15">
      <c r="A34" s="29" t="s">
        <v>102</v>
      </c>
      <c r="B34" s="51">
        <v>79732</v>
      </c>
      <c r="C34" s="51">
        <v>76826</v>
      </c>
      <c r="D34" s="51">
        <f t="shared" si="8"/>
        <v>-2906</v>
      </c>
      <c r="E34" s="5">
        <f t="shared" si="11"/>
        <v>-0.0364470977775548</v>
      </c>
      <c r="F34" s="21"/>
      <c r="G34" s="52"/>
      <c r="H34" s="52"/>
      <c r="I34" s="52"/>
      <c r="J34" s="18"/>
      <c r="K34" s="21" t="s">
        <v>91</v>
      </c>
      <c r="L34" s="52">
        <f>SUM(L18,L32:L33)</f>
        <v>73231</v>
      </c>
      <c r="M34" s="52">
        <f>SUM(M18,M32:M33)</f>
        <v>78074</v>
      </c>
      <c r="N34" s="52">
        <f>SUM(N18,N32:N33)</f>
        <v>4843</v>
      </c>
      <c r="O34" s="18">
        <f t="shared" si="9"/>
        <v>0.0661331949584193</v>
      </c>
    </row>
    <row r="35" ht="17.25" customHeight="1" spans="1:15">
      <c r="A35" s="33" t="s">
        <v>105</v>
      </c>
      <c r="B35" s="52">
        <v>15991</v>
      </c>
      <c r="C35" s="52">
        <v>7954</v>
      </c>
      <c r="D35" s="52">
        <f t="shared" si="8"/>
        <v>-8037</v>
      </c>
      <c r="E35" s="18">
        <f t="shared" si="11"/>
        <v>-0.502595209805516</v>
      </c>
      <c r="F35" s="30" t="s">
        <v>106</v>
      </c>
      <c r="G35" s="31"/>
      <c r="H35" s="31"/>
      <c r="I35" s="31"/>
      <c r="J35" s="48"/>
      <c r="K35" s="93" t="s">
        <v>98</v>
      </c>
      <c r="L35" s="94"/>
      <c r="M35" s="94"/>
      <c r="N35" s="94"/>
      <c r="O35" s="95"/>
    </row>
    <row r="36" ht="17.25" customHeight="1" spans="1:15">
      <c r="A36" s="33" t="s">
        <v>108</v>
      </c>
      <c r="B36" s="52">
        <v>45080</v>
      </c>
      <c r="C36" s="52">
        <v>80470</v>
      </c>
      <c r="D36" s="52">
        <f t="shared" si="8"/>
        <v>35390</v>
      </c>
      <c r="E36" s="18">
        <f t="shared" si="11"/>
        <v>0.785048802129547</v>
      </c>
      <c r="F36" s="15" t="s">
        <v>6</v>
      </c>
      <c r="G36" s="15" t="s">
        <v>227</v>
      </c>
      <c r="H36" s="15" t="s">
        <v>205</v>
      </c>
      <c r="I36" s="15" t="s">
        <v>9</v>
      </c>
      <c r="J36" s="15" t="s">
        <v>10</v>
      </c>
      <c r="K36" s="15" t="s">
        <v>6</v>
      </c>
      <c r="L36" s="15" t="s">
        <v>227</v>
      </c>
      <c r="M36" s="15" t="s">
        <v>205</v>
      </c>
      <c r="N36" s="15" t="s">
        <v>9</v>
      </c>
      <c r="O36" s="15" t="s">
        <v>10</v>
      </c>
    </row>
    <row r="37" ht="17.25" customHeight="1" spans="1:15">
      <c r="A37" s="87" t="s">
        <v>110</v>
      </c>
      <c r="B37" s="52">
        <v>2565</v>
      </c>
      <c r="C37" s="52">
        <v>12503</v>
      </c>
      <c r="D37" s="52">
        <f t="shared" si="8"/>
        <v>9938</v>
      </c>
      <c r="E37" s="18">
        <f t="shared" si="11"/>
        <v>3.87446393762183</v>
      </c>
      <c r="F37" s="21" t="s">
        <v>12</v>
      </c>
      <c r="G37" s="52">
        <f>B5</f>
        <v>107501</v>
      </c>
      <c r="H37" s="52">
        <f>C5</f>
        <v>111028</v>
      </c>
      <c r="I37" s="52">
        <f>H37-G37</f>
        <v>3527</v>
      </c>
      <c r="J37" s="18">
        <f t="shared" ref="J37:J44" si="12">I37/G37</f>
        <v>0.0328089971256081</v>
      </c>
      <c r="K37" s="21" t="s">
        <v>104</v>
      </c>
      <c r="L37" s="45">
        <v>63</v>
      </c>
      <c r="M37" s="45">
        <v>68</v>
      </c>
      <c r="N37" s="52">
        <f>M37-L37</f>
        <v>5</v>
      </c>
      <c r="O37" s="18">
        <f>N37/L37</f>
        <v>0.0793650793650794</v>
      </c>
    </row>
    <row r="38" ht="17.25" customHeight="1" spans="1:15">
      <c r="A38" s="33" t="s">
        <v>112</v>
      </c>
      <c r="B38" s="52">
        <v>10392</v>
      </c>
      <c r="C38" s="52">
        <v>36780</v>
      </c>
      <c r="D38" s="52">
        <f t="shared" si="8"/>
        <v>26388</v>
      </c>
      <c r="E38" s="18">
        <f t="shared" si="11"/>
        <v>2.5392609699769</v>
      </c>
      <c r="F38" s="34" t="s">
        <v>113</v>
      </c>
      <c r="G38" s="52">
        <f>SUM(G39:G43)</f>
        <v>53853.5</v>
      </c>
      <c r="H38" s="52">
        <f>SUM(H39:H43)</f>
        <v>54847</v>
      </c>
      <c r="I38" s="52">
        <f>SUM(I39:I43)</f>
        <v>993.5</v>
      </c>
      <c r="J38" s="18">
        <f t="shared" si="12"/>
        <v>0.0184481974244942</v>
      </c>
      <c r="K38" s="21" t="s">
        <v>109</v>
      </c>
      <c r="L38" s="45">
        <v>45</v>
      </c>
      <c r="M38" s="45">
        <v>57</v>
      </c>
      <c r="N38" s="52">
        <f>M38-L38</f>
        <v>12</v>
      </c>
      <c r="O38" s="18">
        <f>N38/L38</f>
        <v>0.266666666666667</v>
      </c>
    </row>
    <row r="39" ht="17.25" customHeight="1" spans="1:15">
      <c r="A39" s="33"/>
      <c r="B39" s="52"/>
      <c r="C39" s="52"/>
      <c r="D39" s="52"/>
      <c r="E39" s="18"/>
      <c r="F39" s="35" t="s">
        <v>164</v>
      </c>
      <c r="G39" s="51">
        <v>26580</v>
      </c>
      <c r="H39" s="51">
        <f>C7</f>
        <v>34300</v>
      </c>
      <c r="I39" s="51">
        <f>H39-G39</f>
        <v>7720</v>
      </c>
      <c r="J39" s="5">
        <f t="shared" si="12"/>
        <v>0.290443942814146</v>
      </c>
      <c r="K39" s="21" t="s">
        <v>269</v>
      </c>
      <c r="L39" s="45">
        <v>18</v>
      </c>
      <c r="M39" s="45">
        <v>11</v>
      </c>
      <c r="N39" s="52">
        <f>M39-L39</f>
        <v>-7</v>
      </c>
      <c r="O39" s="18">
        <f>N39/L39</f>
        <v>-0.388888888888889</v>
      </c>
    </row>
    <row r="40" ht="17.25" customHeight="1" spans="1:15">
      <c r="A40" s="33"/>
      <c r="B40" s="52"/>
      <c r="C40" s="52"/>
      <c r="D40" s="52"/>
      <c r="E40" s="18"/>
      <c r="F40" s="35" t="s">
        <v>117</v>
      </c>
      <c r="G40" s="51">
        <f>B11*1.5-1</f>
        <v>18222.5</v>
      </c>
      <c r="H40" s="51">
        <f>C11*1.5</f>
        <v>14346</v>
      </c>
      <c r="I40" s="51">
        <f>H40-G40</f>
        <v>-3876.5</v>
      </c>
      <c r="J40" s="5">
        <f t="shared" si="12"/>
        <v>-0.212731513239127</v>
      </c>
      <c r="K40" s="93" t="s">
        <v>116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118</v>
      </c>
      <c r="G41" s="51">
        <f>B12*1.5+0.5</f>
        <v>6896</v>
      </c>
      <c r="H41" s="51">
        <f>C12*1.5</f>
        <v>5961</v>
      </c>
      <c r="I41" s="51">
        <f>H41-G41</f>
        <v>-935</v>
      </c>
      <c r="J41" s="5">
        <f t="shared" si="12"/>
        <v>-0.135585846867749</v>
      </c>
      <c r="K41" s="21" t="s">
        <v>119</v>
      </c>
      <c r="L41" s="45">
        <v>64249</v>
      </c>
      <c r="M41" s="45">
        <v>67694</v>
      </c>
      <c r="N41" s="52">
        <f>M41-L41</f>
        <v>3445</v>
      </c>
      <c r="O41" s="18">
        <f>N41/L41</f>
        <v>0.053619511587729</v>
      </c>
    </row>
    <row r="42" ht="17.25" customHeight="1" spans="1:15">
      <c r="A42" s="33"/>
      <c r="B42" s="52"/>
      <c r="C42" s="52"/>
      <c r="D42" s="52"/>
      <c r="E42" s="18"/>
      <c r="F42" s="35" t="s">
        <v>120</v>
      </c>
      <c r="G42" s="51">
        <v>139</v>
      </c>
      <c r="H42" s="51">
        <v>115</v>
      </c>
      <c r="I42" s="51">
        <f>H42-G42</f>
        <v>-24</v>
      </c>
      <c r="J42" s="5">
        <f t="shared" si="12"/>
        <v>-0.172661870503597</v>
      </c>
      <c r="K42" s="21" t="s">
        <v>121</v>
      </c>
      <c r="L42" s="45">
        <v>54403</v>
      </c>
      <c r="M42" s="45">
        <v>54635</v>
      </c>
      <c r="N42" s="52">
        <f>M42-L42</f>
        <v>232</v>
      </c>
      <c r="O42" s="18">
        <f>N42/L42</f>
        <v>0.00426447070933588</v>
      </c>
    </row>
    <row r="43" ht="18" customHeight="1" spans="1:15">
      <c r="A43" s="1"/>
      <c r="B43" s="51"/>
      <c r="C43" s="51"/>
      <c r="D43" s="51"/>
      <c r="E43" s="18"/>
      <c r="F43" s="102" t="s">
        <v>224</v>
      </c>
      <c r="G43" s="51">
        <v>2016</v>
      </c>
      <c r="H43" s="51">
        <v>125</v>
      </c>
      <c r="I43" s="51">
        <f>H43-G43</f>
        <v>-1891</v>
      </c>
      <c r="J43" s="5">
        <f t="shared" si="12"/>
        <v>-0.937996031746032</v>
      </c>
      <c r="K43" s="21" t="s">
        <v>123</v>
      </c>
      <c r="L43" s="45">
        <f>L41-L42</f>
        <v>9846</v>
      </c>
      <c r="M43" s="45">
        <f>M41-M42</f>
        <v>13059</v>
      </c>
      <c r="N43" s="52">
        <f>M43-L43</f>
        <v>3213</v>
      </c>
      <c r="O43" s="18">
        <f>N43/L43</f>
        <v>0.326325411334552</v>
      </c>
    </row>
    <row r="44" ht="18" customHeight="1" spans="1:15">
      <c r="A44" s="28" t="s">
        <v>124</v>
      </c>
      <c r="B44" s="52">
        <f>SUM(B5,B31,B35:B38)</f>
        <v>343560</v>
      </c>
      <c r="C44" s="52">
        <f>SUM(C5,C31,C35:C38)</f>
        <v>416307</v>
      </c>
      <c r="D44" s="52">
        <f>SUM(D5,D31,D35:D38)</f>
        <v>72747</v>
      </c>
      <c r="E44" s="18">
        <f>D44/B44</f>
        <v>0.21174467341949</v>
      </c>
      <c r="F44" s="36" t="s">
        <v>125</v>
      </c>
      <c r="G44" s="52">
        <f>SUM(G37:G38)</f>
        <v>161354.5</v>
      </c>
      <c r="H44" s="52">
        <f>SUM(H37:H38)</f>
        <v>165875</v>
      </c>
      <c r="I44" s="85">
        <f>SUM(I37:I38)</f>
        <v>4520.5</v>
      </c>
      <c r="J44" s="18">
        <f t="shared" si="12"/>
        <v>0.0280159524525191</v>
      </c>
      <c r="K44" s="21" t="s">
        <v>126</v>
      </c>
      <c r="L44" s="45">
        <v>47073</v>
      </c>
      <c r="M44" s="45">
        <v>60132</v>
      </c>
      <c r="N44" s="52">
        <f>M44-L44</f>
        <v>13059</v>
      </c>
      <c r="O44" s="18">
        <f>N44/L44</f>
        <v>0.277420177171627</v>
      </c>
    </row>
    <row r="45" ht="21" customHeight="1" spans="1:1">
      <c r="A45" t="s">
        <v>270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6:O16"/>
    <mergeCell ref="F35:J35"/>
    <mergeCell ref="K35:O35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D30" sqref="D30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271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12</v>
      </c>
      <c r="B5" s="52">
        <f>SUM(B6,B22)</f>
        <v>106900</v>
      </c>
      <c r="C5" s="52">
        <f>SUM(C6,C22)</f>
        <v>107600</v>
      </c>
      <c r="D5" s="52">
        <f>SUM(D6,D22)</f>
        <v>111028</v>
      </c>
      <c r="E5" s="18">
        <f t="shared" ref="E5:E30" si="0">D5/C5</f>
        <v>1.03185873605948</v>
      </c>
      <c r="F5" s="21" t="s">
        <v>13</v>
      </c>
      <c r="G5" s="19">
        <f>SUM(G6:G24)</f>
        <v>185026</v>
      </c>
      <c r="H5" s="19">
        <f>SUM(H6:H24)</f>
        <v>337132</v>
      </c>
      <c r="I5" s="19">
        <f>SUM(I6:I24)</f>
        <v>320637</v>
      </c>
      <c r="J5" s="18">
        <f t="shared" ref="J5:J24" si="1">I5/H5</f>
        <v>0.951072576913494</v>
      </c>
      <c r="K5" s="16" t="s">
        <v>133</v>
      </c>
      <c r="L5" s="19">
        <f>SUM(L6:L11)</f>
        <v>73000</v>
      </c>
      <c r="M5" s="19">
        <f>SUM(M6:M11)</f>
        <v>48700</v>
      </c>
      <c r="N5" s="19">
        <f>SUM(N6:N11)</f>
        <v>62231</v>
      </c>
      <c r="O5" s="18">
        <f t="shared" ref="O5:O11" si="2">N5/M5</f>
        <v>1.27784394250513</v>
      </c>
    </row>
    <row r="6" ht="16.5" customHeight="1" spans="1:15">
      <c r="A6" s="21" t="s">
        <v>15</v>
      </c>
      <c r="B6" s="52">
        <f>SUM(B7,B10:B21)</f>
        <v>69800</v>
      </c>
      <c r="C6" s="52">
        <f>SUM(C7,C10:C21)</f>
        <v>70300</v>
      </c>
      <c r="D6" s="52">
        <f>SUM(D7,D10:D21)</f>
        <v>71161</v>
      </c>
      <c r="E6" s="18">
        <f t="shared" si="0"/>
        <v>1.01224751066856</v>
      </c>
      <c r="F6" s="1" t="s">
        <v>228</v>
      </c>
      <c r="G6" s="22">
        <v>17207</v>
      </c>
      <c r="H6" s="22">
        <v>29616</v>
      </c>
      <c r="I6" s="22">
        <v>28951</v>
      </c>
      <c r="J6" s="60">
        <f t="shared" si="1"/>
        <v>0.977545921123717</v>
      </c>
      <c r="K6" s="42" t="s">
        <v>272</v>
      </c>
      <c r="L6" s="22">
        <v>750</v>
      </c>
      <c r="M6" s="22">
        <v>182</v>
      </c>
      <c r="N6" s="51">
        <v>182</v>
      </c>
      <c r="O6" s="5">
        <f t="shared" si="2"/>
        <v>1</v>
      </c>
    </row>
    <row r="7" ht="16.5" customHeight="1" spans="1:15">
      <c r="A7" s="1" t="s">
        <v>18</v>
      </c>
      <c r="B7" s="51">
        <f>SUM(B8:B9)</f>
        <v>30568</v>
      </c>
      <c r="C7" s="51">
        <f>SUM(C8:C9)</f>
        <v>33420</v>
      </c>
      <c r="D7" s="51">
        <f>SUM(D8:D9)</f>
        <v>34300</v>
      </c>
      <c r="E7" s="5">
        <f t="shared" si="0"/>
        <v>1.0263315380012</v>
      </c>
      <c r="F7" s="1" t="s">
        <v>229</v>
      </c>
      <c r="G7" s="22">
        <v>129</v>
      </c>
      <c r="H7" s="22">
        <v>251</v>
      </c>
      <c r="I7" s="22">
        <v>251</v>
      </c>
      <c r="J7" s="60">
        <f t="shared" si="1"/>
        <v>1</v>
      </c>
      <c r="K7" s="42" t="s">
        <v>218</v>
      </c>
      <c r="L7" s="22">
        <v>70050</v>
      </c>
      <c r="M7" s="22">
        <v>45399</v>
      </c>
      <c r="N7" s="51">
        <v>58311</v>
      </c>
      <c r="O7" s="5">
        <f t="shared" si="2"/>
        <v>1.28441155091522</v>
      </c>
    </row>
    <row r="8" ht="16.5" customHeight="1" spans="1:15">
      <c r="A8" s="1" t="s">
        <v>136</v>
      </c>
      <c r="B8" s="51">
        <v>20620</v>
      </c>
      <c r="C8" s="51">
        <v>24087</v>
      </c>
      <c r="D8" s="51">
        <v>24559</v>
      </c>
      <c r="E8" s="5">
        <f t="shared" si="0"/>
        <v>1.01959563249886</v>
      </c>
      <c r="F8" s="1" t="s">
        <v>231</v>
      </c>
      <c r="G8" s="51">
        <v>6365</v>
      </c>
      <c r="H8" s="22">
        <v>13485</v>
      </c>
      <c r="I8" s="22">
        <v>12929</v>
      </c>
      <c r="J8" s="60">
        <f t="shared" si="1"/>
        <v>0.958769002595476</v>
      </c>
      <c r="K8" s="42" t="s">
        <v>219</v>
      </c>
      <c r="L8" s="22">
        <v>1200</v>
      </c>
      <c r="M8" s="22">
        <v>1900</v>
      </c>
      <c r="N8" s="51">
        <v>2532</v>
      </c>
      <c r="O8" s="5">
        <f t="shared" si="2"/>
        <v>1.33263157894737</v>
      </c>
    </row>
    <row r="9" ht="16.5" customHeight="1" spans="1:15">
      <c r="A9" s="1" t="s">
        <v>138</v>
      </c>
      <c r="B9" s="51">
        <v>9948</v>
      </c>
      <c r="C9" s="51">
        <v>9333</v>
      </c>
      <c r="D9" s="51">
        <v>9741</v>
      </c>
      <c r="E9" s="5">
        <f t="shared" si="0"/>
        <v>1.04371584699454</v>
      </c>
      <c r="F9" s="1" t="s">
        <v>233</v>
      </c>
      <c r="G9" s="51">
        <v>63826</v>
      </c>
      <c r="H9" s="22">
        <v>79101</v>
      </c>
      <c r="I9" s="22">
        <v>78149</v>
      </c>
      <c r="J9" s="60">
        <f t="shared" si="1"/>
        <v>0.987964753922201</v>
      </c>
      <c r="K9" s="42" t="s">
        <v>26</v>
      </c>
      <c r="L9" s="22">
        <v>500</v>
      </c>
      <c r="M9" s="22">
        <v>569</v>
      </c>
      <c r="N9" s="51">
        <v>569</v>
      </c>
      <c r="O9" s="5">
        <f t="shared" si="2"/>
        <v>1</v>
      </c>
    </row>
    <row r="10" ht="16.5" customHeight="1" spans="1:15">
      <c r="A10" s="1" t="s">
        <v>27</v>
      </c>
      <c r="B10" s="99"/>
      <c r="C10" s="51">
        <v>140</v>
      </c>
      <c r="D10" s="51">
        <v>125</v>
      </c>
      <c r="E10" s="5">
        <f t="shared" si="0"/>
        <v>0.892857142857143</v>
      </c>
      <c r="F10" s="1" t="s">
        <v>235</v>
      </c>
      <c r="G10" s="51">
        <v>2443</v>
      </c>
      <c r="H10" s="51">
        <v>2892</v>
      </c>
      <c r="I10" s="22">
        <v>2831</v>
      </c>
      <c r="J10" s="60">
        <f t="shared" si="1"/>
        <v>0.978907330567082</v>
      </c>
      <c r="K10" s="42" t="s">
        <v>220</v>
      </c>
      <c r="L10" s="22">
        <v>250</v>
      </c>
      <c r="M10" s="22">
        <v>250</v>
      </c>
      <c r="N10" s="51">
        <v>260</v>
      </c>
      <c r="O10" s="5">
        <f t="shared" si="2"/>
        <v>1.04</v>
      </c>
    </row>
    <row r="11" ht="16.5" customHeight="1" spans="1:15">
      <c r="A11" s="1" t="s">
        <v>30</v>
      </c>
      <c r="B11" s="99">
        <v>11242</v>
      </c>
      <c r="C11" s="51">
        <v>9460</v>
      </c>
      <c r="D11" s="51">
        <v>9564</v>
      </c>
      <c r="E11" s="5">
        <f t="shared" si="0"/>
        <v>1.01099365750529</v>
      </c>
      <c r="F11" s="1" t="s">
        <v>237</v>
      </c>
      <c r="G11" s="51">
        <v>1517</v>
      </c>
      <c r="H11" s="51">
        <v>3177</v>
      </c>
      <c r="I11" s="22">
        <v>3170</v>
      </c>
      <c r="J11" s="60">
        <f t="shared" si="1"/>
        <v>0.997796663519043</v>
      </c>
      <c r="K11" s="42" t="s">
        <v>221</v>
      </c>
      <c r="L11" s="22">
        <v>250</v>
      </c>
      <c r="M11" s="22">
        <v>400</v>
      </c>
      <c r="N11" s="51">
        <v>377</v>
      </c>
      <c r="O11" s="5">
        <f t="shared" si="2"/>
        <v>0.9425</v>
      </c>
    </row>
    <row r="12" ht="16.5" customHeight="1" spans="1:15">
      <c r="A12" s="1" t="s">
        <v>33</v>
      </c>
      <c r="B12" s="99">
        <v>3990</v>
      </c>
      <c r="C12" s="51">
        <v>4020</v>
      </c>
      <c r="D12" s="51">
        <v>3974</v>
      </c>
      <c r="E12" s="5">
        <f t="shared" si="0"/>
        <v>0.988557213930348</v>
      </c>
      <c r="F12" s="1" t="s">
        <v>239</v>
      </c>
      <c r="G12" s="51">
        <v>22598</v>
      </c>
      <c r="H12" s="51">
        <v>33493</v>
      </c>
      <c r="I12" s="22">
        <v>32787</v>
      </c>
      <c r="J12" s="60">
        <f t="shared" si="1"/>
        <v>0.978920968560595</v>
      </c>
      <c r="K12" s="21" t="s">
        <v>32</v>
      </c>
      <c r="L12" s="22"/>
      <c r="M12" s="22"/>
      <c r="N12" s="19">
        <v>5471</v>
      </c>
      <c r="O12" s="4"/>
    </row>
    <row r="13" ht="16.5" customHeight="1" spans="1:15">
      <c r="A13" s="1" t="s">
        <v>36</v>
      </c>
      <c r="B13" s="68">
        <v>3500</v>
      </c>
      <c r="C13" s="68">
        <v>3500</v>
      </c>
      <c r="D13" s="51">
        <v>3610</v>
      </c>
      <c r="E13" s="5">
        <f t="shared" si="0"/>
        <v>1.03142857142857</v>
      </c>
      <c r="F13" s="1" t="s">
        <v>273</v>
      </c>
      <c r="G13" s="51">
        <v>39782</v>
      </c>
      <c r="H13" s="51">
        <v>50580</v>
      </c>
      <c r="I13" s="22">
        <v>49814</v>
      </c>
      <c r="J13" s="61">
        <f t="shared" si="1"/>
        <v>0.984855674179518</v>
      </c>
      <c r="K13" s="21" t="s">
        <v>35</v>
      </c>
      <c r="L13" s="19"/>
      <c r="M13" s="19">
        <v>10123</v>
      </c>
      <c r="N13" s="19">
        <v>10336</v>
      </c>
      <c r="O13" s="45"/>
    </row>
    <row r="14" ht="16.5" customHeight="1" spans="1:15">
      <c r="A14" s="1" t="s">
        <v>39</v>
      </c>
      <c r="B14" s="68">
        <v>3200</v>
      </c>
      <c r="C14" s="68">
        <v>3200</v>
      </c>
      <c r="D14" s="51">
        <v>3304</v>
      </c>
      <c r="E14" s="5">
        <f t="shared" si="0"/>
        <v>1.0325</v>
      </c>
      <c r="F14" s="1" t="s">
        <v>241</v>
      </c>
      <c r="G14" s="51">
        <v>580</v>
      </c>
      <c r="H14" s="51">
        <v>16077</v>
      </c>
      <c r="I14" s="22">
        <v>10223</v>
      </c>
      <c r="J14" s="60">
        <f t="shared" si="1"/>
        <v>0.635877340299807</v>
      </c>
      <c r="K14" s="21" t="s">
        <v>181</v>
      </c>
      <c r="L14" s="19"/>
      <c r="M14" s="19"/>
      <c r="N14" s="19">
        <v>36</v>
      </c>
      <c r="O14" s="45"/>
    </row>
    <row r="15" ht="16.5" customHeight="1" spans="1:15">
      <c r="A15" s="1" t="s">
        <v>42</v>
      </c>
      <c r="B15" s="68">
        <v>2000</v>
      </c>
      <c r="C15" s="68">
        <v>2000</v>
      </c>
      <c r="D15" s="51">
        <v>1884</v>
      </c>
      <c r="E15" s="5">
        <f t="shared" si="0"/>
        <v>0.942</v>
      </c>
      <c r="F15" s="1" t="s">
        <v>274</v>
      </c>
      <c r="G15" s="51">
        <v>1533</v>
      </c>
      <c r="H15" s="51">
        <v>10607</v>
      </c>
      <c r="I15" s="22">
        <v>10399</v>
      </c>
      <c r="J15" s="60">
        <f t="shared" si="1"/>
        <v>0.98039030828698</v>
      </c>
      <c r="K15" s="46" t="s">
        <v>41</v>
      </c>
      <c r="L15" s="19">
        <f>SUM(L13,L12,L5)</f>
        <v>73000</v>
      </c>
      <c r="M15" s="19">
        <f>SUM(M13,M12,M5)</f>
        <v>58823</v>
      </c>
      <c r="N15" s="19">
        <f>SUM(N13,N12,N5,N14)</f>
        <v>78074</v>
      </c>
      <c r="O15" s="4"/>
    </row>
    <row r="16" ht="16.5" customHeight="1" spans="1:15">
      <c r="A16" s="1" t="s">
        <v>45</v>
      </c>
      <c r="B16" s="68">
        <v>1100</v>
      </c>
      <c r="C16" s="68">
        <v>1100</v>
      </c>
      <c r="D16" s="51">
        <v>1099</v>
      </c>
      <c r="E16" s="5">
        <f t="shared" si="0"/>
        <v>0.999090909090909</v>
      </c>
      <c r="F16" s="1" t="s">
        <v>275</v>
      </c>
      <c r="G16" s="51">
        <v>8422</v>
      </c>
      <c r="H16" s="51">
        <v>52392</v>
      </c>
      <c r="I16" s="22">
        <v>51379</v>
      </c>
      <c r="J16" s="60">
        <f t="shared" si="1"/>
        <v>0.980664987020919</v>
      </c>
      <c r="K16" s="90" t="s">
        <v>44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2800</v>
      </c>
      <c r="C17" s="68">
        <v>2683</v>
      </c>
      <c r="D17" s="51">
        <v>2513</v>
      </c>
      <c r="E17" s="5">
        <f t="shared" si="0"/>
        <v>0.936638091688409</v>
      </c>
      <c r="F17" s="1" t="s">
        <v>244</v>
      </c>
      <c r="G17" s="51">
        <v>872</v>
      </c>
      <c r="H17" s="22">
        <v>9302</v>
      </c>
      <c r="I17" s="22">
        <v>7672</v>
      </c>
      <c r="J17" s="60">
        <f t="shared" si="1"/>
        <v>0.824768866910342</v>
      </c>
      <c r="K17" s="15" t="s">
        <v>6</v>
      </c>
      <c r="L17" s="15" t="s">
        <v>129</v>
      </c>
      <c r="M17" s="15" t="s">
        <v>130</v>
      </c>
      <c r="N17" s="15" t="s">
        <v>131</v>
      </c>
      <c r="O17" s="15" t="s">
        <v>132</v>
      </c>
    </row>
    <row r="18" ht="16.5" customHeight="1" spans="1:15">
      <c r="A18" s="1" t="s">
        <v>50</v>
      </c>
      <c r="B18" s="68">
        <v>5700</v>
      </c>
      <c r="C18" s="68">
        <v>5700</v>
      </c>
      <c r="D18" s="51">
        <v>5711</v>
      </c>
      <c r="E18" s="5">
        <f t="shared" si="0"/>
        <v>1.0019298245614</v>
      </c>
      <c r="F18" s="1" t="s">
        <v>276</v>
      </c>
      <c r="G18" s="51">
        <v>1664</v>
      </c>
      <c r="H18" s="22">
        <v>7216</v>
      </c>
      <c r="I18" s="22">
        <v>4939</v>
      </c>
      <c r="J18" s="60">
        <f t="shared" si="1"/>
        <v>0.684451219512195</v>
      </c>
      <c r="K18" s="16" t="s">
        <v>144</v>
      </c>
      <c r="L18" s="52">
        <f>SUM(L19:L30)</f>
        <v>73000</v>
      </c>
      <c r="M18" s="52">
        <f>SUM(M19:M30)</f>
        <v>50171</v>
      </c>
      <c r="N18" s="52">
        <f>SUM(N19:N30)</f>
        <v>35744</v>
      </c>
      <c r="O18" s="18">
        <f t="shared" ref="O18:O31" si="3">N18/M18</f>
        <v>0.712443443423492</v>
      </c>
    </row>
    <row r="19" ht="16.5" customHeight="1" spans="1:15">
      <c r="A19" s="1" t="s">
        <v>53</v>
      </c>
      <c r="B19" s="68">
        <v>1500</v>
      </c>
      <c r="C19" s="68">
        <v>1460</v>
      </c>
      <c r="D19" s="51">
        <v>1277</v>
      </c>
      <c r="E19" s="5">
        <f t="shared" si="0"/>
        <v>0.874657534246575</v>
      </c>
      <c r="F19" s="1" t="s">
        <v>277</v>
      </c>
      <c r="G19" s="51">
        <v>400</v>
      </c>
      <c r="H19" s="22">
        <v>1616</v>
      </c>
      <c r="I19" s="22">
        <v>1480</v>
      </c>
      <c r="J19" s="60">
        <f t="shared" si="1"/>
        <v>0.915841584158416</v>
      </c>
      <c r="K19" s="42" t="s">
        <v>52</v>
      </c>
      <c r="L19" s="22"/>
      <c r="M19" s="22">
        <v>868</v>
      </c>
      <c r="N19" s="51">
        <v>560</v>
      </c>
      <c r="O19" s="5">
        <f t="shared" si="3"/>
        <v>0.645161290322581</v>
      </c>
    </row>
    <row r="20" ht="16.5" customHeight="1" spans="1:15">
      <c r="A20" s="1" t="s">
        <v>247</v>
      </c>
      <c r="B20" s="51">
        <v>600</v>
      </c>
      <c r="C20" s="51">
        <v>600</v>
      </c>
      <c r="D20" s="51">
        <v>546</v>
      </c>
      <c r="E20" s="5">
        <f t="shared" si="0"/>
        <v>0.91</v>
      </c>
      <c r="F20" s="1" t="s">
        <v>278</v>
      </c>
      <c r="G20" s="51">
        <v>1216</v>
      </c>
      <c r="H20" s="22">
        <v>3977</v>
      </c>
      <c r="I20" s="22">
        <v>3777</v>
      </c>
      <c r="J20" s="60">
        <f t="shared" si="1"/>
        <v>0.949710837314559</v>
      </c>
      <c r="K20" s="81" t="s">
        <v>55</v>
      </c>
      <c r="L20" s="22">
        <v>70050</v>
      </c>
      <c r="M20" s="22">
        <v>40529</v>
      </c>
      <c r="N20" s="51">
        <v>27313</v>
      </c>
      <c r="O20" s="5">
        <f t="shared" si="3"/>
        <v>0.673912507093686</v>
      </c>
    </row>
    <row r="21" ht="16.5" customHeight="1" spans="1:15">
      <c r="A21" s="1" t="s">
        <v>250</v>
      </c>
      <c r="B21" s="51">
        <v>3600</v>
      </c>
      <c r="C21" s="51">
        <v>3017</v>
      </c>
      <c r="D21" s="51">
        <v>3254</v>
      </c>
      <c r="E21" s="5">
        <f t="shared" si="0"/>
        <v>1.07855485581704</v>
      </c>
      <c r="F21" s="1" t="s">
        <v>279</v>
      </c>
      <c r="G21" s="51"/>
      <c r="H21" s="22">
        <v>9376</v>
      </c>
      <c r="I21" s="22">
        <v>8969</v>
      </c>
      <c r="J21" s="60">
        <f t="shared" si="1"/>
        <v>0.956591296928328</v>
      </c>
      <c r="K21" s="42" t="s">
        <v>280</v>
      </c>
      <c r="L21" s="22">
        <v>750</v>
      </c>
      <c r="M21" s="22">
        <v>425</v>
      </c>
      <c r="N21" s="51">
        <v>425</v>
      </c>
      <c r="O21" s="5">
        <f t="shared" si="3"/>
        <v>1</v>
      </c>
    </row>
    <row r="22" ht="16.5" customHeight="1" spans="1:15">
      <c r="A22" s="21" t="s">
        <v>68</v>
      </c>
      <c r="B22" s="52">
        <f>SUM(B23,B25:B30)</f>
        <v>37100</v>
      </c>
      <c r="C22" s="52">
        <f>SUM(C23,C25:C30)</f>
        <v>37300</v>
      </c>
      <c r="D22" s="52">
        <f>SUM(D23,D25:D30)</f>
        <v>39867</v>
      </c>
      <c r="E22" s="18">
        <f t="shared" si="0"/>
        <v>1.06882037533512</v>
      </c>
      <c r="F22" s="1" t="s">
        <v>281</v>
      </c>
      <c r="G22" s="51">
        <v>2372</v>
      </c>
      <c r="H22" s="22">
        <v>1546</v>
      </c>
      <c r="I22" s="22">
        <v>1546</v>
      </c>
      <c r="J22" s="60">
        <f t="shared" si="1"/>
        <v>1</v>
      </c>
      <c r="K22" s="81" t="s">
        <v>282</v>
      </c>
      <c r="L22" s="22"/>
      <c r="M22" s="22">
        <v>50</v>
      </c>
      <c r="N22" s="51">
        <v>50</v>
      </c>
      <c r="O22" s="5">
        <f t="shared" si="3"/>
        <v>1</v>
      </c>
    </row>
    <row r="23" ht="16.5" customHeight="1" spans="1:15">
      <c r="A23" s="1" t="s">
        <v>71</v>
      </c>
      <c r="B23" s="51">
        <v>3360</v>
      </c>
      <c r="C23" s="51">
        <v>4000</v>
      </c>
      <c r="D23" s="51">
        <v>4732</v>
      </c>
      <c r="E23" s="5">
        <f t="shared" si="0"/>
        <v>1.183</v>
      </c>
      <c r="F23" s="1" t="s">
        <v>255</v>
      </c>
      <c r="G23" s="51">
        <v>10800</v>
      </c>
      <c r="H23" s="22">
        <v>10649</v>
      </c>
      <c r="I23" s="22">
        <v>10649</v>
      </c>
      <c r="J23" s="60">
        <f t="shared" si="1"/>
        <v>1</v>
      </c>
      <c r="K23" s="42" t="s">
        <v>283</v>
      </c>
      <c r="L23" s="22">
        <v>1200</v>
      </c>
      <c r="M23" s="22">
        <v>2418</v>
      </c>
      <c r="N23" s="51">
        <v>1660</v>
      </c>
      <c r="O23" s="5">
        <f t="shared" si="3"/>
        <v>0.686517783291977</v>
      </c>
    </row>
    <row r="24" ht="16.5" customHeight="1" spans="1:15">
      <c r="A24" s="1" t="s">
        <v>151</v>
      </c>
      <c r="B24" s="51">
        <v>1900</v>
      </c>
      <c r="C24" s="51">
        <v>2100</v>
      </c>
      <c r="D24" s="51">
        <v>2375</v>
      </c>
      <c r="E24" s="5">
        <f t="shared" si="0"/>
        <v>1.13095238095238</v>
      </c>
      <c r="F24" s="1" t="s">
        <v>257</v>
      </c>
      <c r="G24" s="51">
        <v>3300</v>
      </c>
      <c r="H24" s="22">
        <v>1779</v>
      </c>
      <c r="I24" s="22">
        <v>722</v>
      </c>
      <c r="J24" s="80">
        <f t="shared" si="1"/>
        <v>0.405845980888139</v>
      </c>
      <c r="K24" s="42" t="s">
        <v>284</v>
      </c>
      <c r="L24" s="22">
        <v>500</v>
      </c>
      <c r="M24" s="22">
        <v>622</v>
      </c>
      <c r="N24" s="51">
        <v>588</v>
      </c>
      <c r="O24" s="5">
        <f t="shared" si="3"/>
        <v>0.945337620578778</v>
      </c>
    </row>
    <row r="25" ht="16.5" customHeight="1" spans="1:15">
      <c r="A25" s="1" t="s">
        <v>77</v>
      </c>
      <c r="B25" s="4">
        <v>8000</v>
      </c>
      <c r="C25" s="51">
        <v>6500</v>
      </c>
      <c r="D25" s="51">
        <v>6382</v>
      </c>
      <c r="E25" s="5">
        <f t="shared" si="0"/>
        <v>0.981846153846154</v>
      </c>
      <c r="F25" s="26" t="s">
        <v>78</v>
      </c>
      <c r="G25" s="69">
        <f>SUM(G26:G27)</f>
        <v>3800</v>
      </c>
      <c r="H25" s="69">
        <f>SUM(H26:H27)</f>
        <v>3800</v>
      </c>
      <c r="I25" s="69">
        <f>SUM(I26:I27)</f>
        <v>4089</v>
      </c>
      <c r="J25" s="5"/>
      <c r="K25" s="42" t="s">
        <v>285</v>
      </c>
      <c r="L25" s="22"/>
      <c r="M25" s="22">
        <v>40</v>
      </c>
      <c r="N25" s="51">
        <v>40</v>
      </c>
      <c r="O25" s="5">
        <f t="shared" si="3"/>
        <v>1</v>
      </c>
    </row>
    <row r="26" ht="16.5" customHeight="1" spans="1:15">
      <c r="A26" s="1" t="s">
        <v>80</v>
      </c>
      <c r="B26" s="4">
        <v>3500</v>
      </c>
      <c r="C26" s="51">
        <v>2500</v>
      </c>
      <c r="D26" s="51">
        <v>2673</v>
      </c>
      <c r="E26" s="5">
        <f t="shared" si="0"/>
        <v>1.0692</v>
      </c>
      <c r="F26" s="1" t="s">
        <v>81</v>
      </c>
      <c r="G26" s="51">
        <v>2500</v>
      </c>
      <c r="H26" s="22">
        <v>2500</v>
      </c>
      <c r="I26" s="22">
        <v>2861</v>
      </c>
      <c r="J26" s="5"/>
      <c r="K26" s="81" t="s">
        <v>286</v>
      </c>
      <c r="L26" s="22"/>
      <c r="M26" s="22">
        <v>2250</v>
      </c>
      <c r="N26" s="51">
        <v>2250</v>
      </c>
      <c r="O26" s="5">
        <f t="shared" si="3"/>
        <v>1</v>
      </c>
    </row>
    <row r="27" ht="16.5" customHeight="1" spans="1:15">
      <c r="A27" s="1" t="s">
        <v>155</v>
      </c>
      <c r="B27" s="4">
        <v>6100</v>
      </c>
      <c r="C27" s="51">
        <v>18000</v>
      </c>
      <c r="D27" s="51">
        <v>18450</v>
      </c>
      <c r="E27" s="5">
        <f t="shared" si="0"/>
        <v>1.025</v>
      </c>
      <c r="F27" s="1" t="s">
        <v>84</v>
      </c>
      <c r="G27" s="71">
        <v>1300</v>
      </c>
      <c r="H27" s="22">
        <v>1300</v>
      </c>
      <c r="I27" s="22">
        <v>1228</v>
      </c>
      <c r="J27" s="5"/>
      <c r="K27" s="42" t="s">
        <v>287</v>
      </c>
      <c r="L27" s="22"/>
      <c r="M27" s="22">
        <v>14</v>
      </c>
      <c r="N27" s="51">
        <v>14</v>
      </c>
      <c r="O27" s="5">
        <f t="shared" si="3"/>
        <v>1</v>
      </c>
    </row>
    <row r="28" ht="16.5" customHeight="1" spans="1:15">
      <c r="A28" s="1" t="s">
        <v>86</v>
      </c>
      <c r="B28" s="4">
        <v>1500</v>
      </c>
      <c r="C28" s="51">
        <v>800</v>
      </c>
      <c r="D28" s="51">
        <v>1009</v>
      </c>
      <c r="E28" s="5">
        <f t="shared" si="0"/>
        <v>1.26125</v>
      </c>
      <c r="F28" s="26" t="s">
        <v>87</v>
      </c>
      <c r="G28" s="72"/>
      <c r="H28" s="22"/>
      <c r="I28" s="19">
        <v>64856</v>
      </c>
      <c r="J28" s="5"/>
      <c r="K28" s="42" t="s">
        <v>288</v>
      </c>
      <c r="L28" s="22">
        <v>500</v>
      </c>
      <c r="M28" s="22">
        <v>2323</v>
      </c>
      <c r="N28" s="51">
        <v>2212</v>
      </c>
      <c r="O28" s="5">
        <f t="shared" si="3"/>
        <v>0.952216960826517</v>
      </c>
    </row>
    <row r="29" ht="16.5" customHeight="1" spans="1:15">
      <c r="A29" s="1" t="s">
        <v>89</v>
      </c>
      <c r="B29" s="4">
        <v>40</v>
      </c>
      <c r="C29" s="51">
        <v>40</v>
      </c>
      <c r="D29" s="51">
        <v>55</v>
      </c>
      <c r="E29" s="5">
        <f t="shared" si="0"/>
        <v>1.375</v>
      </c>
      <c r="F29" s="26" t="s">
        <v>90</v>
      </c>
      <c r="G29" s="72"/>
      <c r="H29" s="22"/>
      <c r="I29" s="19">
        <v>10230</v>
      </c>
      <c r="J29" s="5"/>
      <c r="K29" s="42" t="s">
        <v>289</v>
      </c>
      <c r="L29" s="22"/>
      <c r="M29" s="22">
        <v>81</v>
      </c>
      <c r="N29" s="51">
        <v>81</v>
      </c>
      <c r="O29" s="5">
        <f t="shared" si="3"/>
        <v>1</v>
      </c>
    </row>
    <row r="30" ht="16.5" customHeight="1" spans="1:15">
      <c r="A30" s="1" t="s">
        <v>158</v>
      </c>
      <c r="B30" s="4">
        <v>14600</v>
      </c>
      <c r="C30" s="51">
        <v>5460</v>
      </c>
      <c r="D30" s="51">
        <v>6566</v>
      </c>
      <c r="E30" s="5">
        <f t="shared" si="0"/>
        <v>1.2025641025641</v>
      </c>
      <c r="F30" s="21" t="s">
        <v>264</v>
      </c>
      <c r="G30" s="52"/>
      <c r="H30" s="22"/>
      <c r="I30" s="19">
        <v>16495</v>
      </c>
      <c r="J30" s="5"/>
      <c r="K30" s="42" t="s">
        <v>290</v>
      </c>
      <c r="L30" s="22"/>
      <c r="M30" s="22">
        <v>551</v>
      </c>
      <c r="N30" s="51">
        <v>551</v>
      </c>
      <c r="O30" s="5">
        <f t="shared" si="3"/>
        <v>1</v>
      </c>
    </row>
    <row r="31" ht="16.5" customHeight="1" spans="1:15">
      <c r="A31" s="28" t="s">
        <v>94</v>
      </c>
      <c r="B31" s="52">
        <f>SUM(B32:B34)</f>
        <v>65126</v>
      </c>
      <c r="C31" s="52">
        <f>SUM(C32:C34)</f>
        <v>72983</v>
      </c>
      <c r="D31" s="52">
        <f>SUM(D32:D34)</f>
        <v>167572</v>
      </c>
      <c r="E31" s="18"/>
      <c r="F31" s="1" t="s">
        <v>100</v>
      </c>
      <c r="G31" s="51"/>
      <c r="H31" s="22"/>
      <c r="I31" s="22">
        <v>16495</v>
      </c>
      <c r="J31" s="5"/>
      <c r="K31" s="16" t="s">
        <v>82</v>
      </c>
      <c r="L31" s="22"/>
      <c r="M31" s="19">
        <v>27427</v>
      </c>
      <c r="N31" s="41">
        <v>27903</v>
      </c>
      <c r="O31" s="5">
        <f t="shared" si="3"/>
        <v>1.01735516097276</v>
      </c>
    </row>
    <row r="32" ht="16.5" customHeight="1" spans="1:15">
      <c r="A32" s="29" t="s">
        <v>96</v>
      </c>
      <c r="B32" s="51">
        <v>7577</v>
      </c>
      <c r="C32" s="51">
        <v>7699</v>
      </c>
      <c r="D32" s="51">
        <v>10690</v>
      </c>
      <c r="E32" s="5"/>
      <c r="F32" s="21" t="s">
        <v>103</v>
      </c>
      <c r="G32" s="52">
        <f>SUM(G5,G25,G28:G30)</f>
        <v>188826</v>
      </c>
      <c r="H32" s="52">
        <f>SUM(H5,H25,H28:H30)</f>
        <v>340932</v>
      </c>
      <c r="I32" s="52">
        <f>SUM(I5,I25,I28:I30)</f>
        <v>416307</v>
      </c>
      <c r="J32" s="4"/>
      <c r="K32" s="21" t="s">
        <v>88</v>
      </c>
      <c r="L32" s="22"/>
      <c r="M32" s="22"/>
      <c r="N32" s="52">
        <v>14427</v>
      </c>
      <c r="O32" s="4"/>
    </row>
    <row r="33" ht="16.5" customHeight="1" spans="1:15">
      <c r="A33" s="29" t="s">
        <v>99</v>
      </c>
      <c r="B33" s="51">
        <v>27723</v>
      </c>
      <c r="C33" s="51">
        <v>35458</v>
      </c>
      <c r="D33" s="51">
        <v>80056</v>
      </c>
      <c r="E33" s="5"/>
      <c r="F33" s="21"/>
      <c r="G33" s="17"/>
      <c r="H33" s="17"/>
      <c r="I33" s="17"/>
      <c r="J33" s="4"/>
      <c r="K33" s="21" t="s">
        <v>91</v>
      </c>
      <c r="L33" s="19">
        <f>SUM(L18,L32:L32)</f>
        <v>73000</v>
      </c>
      <c r="M33" s="22"/>
      <c r="N33" s="19">
        <f>SUM(N18,N31:N32)</f>
        <v>78074</v>
      </c>
      <c r="O33" s="4"/>
    </row>
    <row r="34" ht="16.5" customHeight="1" spans="1:15">
      <c r="A34" s="29" t="s">
        <v>160</v>
      </c>
      <c r="B34" s="51">
        <v>29826</v>
      </c>
      <c r="C34" s="51">
        <v>29826</v>
      </c>
      <c r="D34" s="51">
        <v>76826</v>
      </c>
      <c r="E34" s="5"/>
      <c r="F34" s="30" t="s">
        <v>106</v>
      </c>
      <c r="G34" s="31"/>
      <c r="H34" s="31"/>
      <c r="I34" s="31"/>
      <c r="J34" s="48"/>
      <c r="K34" s="93" t="s">
        <v>98</v>
      </c>
      <c r="L34" s="94"/>
      <c r="M34" s="94"/>
      <c r="N34" s="94"/>
      <c r="O34" s="95"/>
    </row>
    <row r="35" ht="16.5" customHeight="1" spans="1:15">
      <c r="A35" s="33" t="s">
        <v>105</v>
      </c>
      <c r="B35" s="72"/>
      <c r="C35" s="52">
        <v>1713</v>
      </c>
      <c r="D35" s="52">
        <v>7954</v>
      </c>
      <c r="E35" s="45"/>
      <c r="F35" s="15" t="s">
        <v>6</v>
      </c>
      <c r="G35" s="4" t="s">
        <v>129</v>
      </c>
      <c r="H35" s="4" t="s">
        <v>130</v>
      </c>
      <c r="I35" s="4" t="s">
        <v>131</v>
      </c>
      <c r="J35" s="4" t="s">
        <v>132</v>
      </c>
      <c r="K35" s="15" t="s">
        <v>6</v>
      </c>
      <c r="L35" s="15" t="s">
        <v>129</v>
      </c>
      <c r="M35" s="15" t="s">
        <v>130</v>
      </c>
      <c r="N35" s="15" t="s">
        <v>131</v>
      </c>
      <c r="O35" s="15" t="s">
        <v>132</v>
      </c>
    </row>
    <row r="36" ht="16.5" customHeight="1" spans="1:15">
      <c r="A36" s="33" t="s">
        <v>108</v>
      </c>
      <c r="B36" s="85"/>
      <c r="C36" s="52">
        <v>18700</v>
      </c>
      <c r="D36" s="52">
        <v>80470</v>
      </c>
      <c r="E36" s="1"/>
      <c r="F36" s="21" t="s">
        <v>12</v>
      </c>
      <c r="G36" s="85">
        <f>B5</f>
        <v>106900</v>
      </c>
      <c r="H36" s="85">
        <f>C5</f>
        <v>107600</v>
      </c>
      <c r="I36" s="85">
        <f>D5</f>
        <v>111028</v>
      </c>
      <c r="J36" s="18">
        <f t="shared" ref="J36:J43" si="4">I36/H36</f>
        <v>1.03185873605948</v>
      </c>
      <c r="K36" s="21" t="s">
        <v>104</v>
      </c>
      <c r="L36" s="45">
        <v>66</v>
      </c>
      <c r="M36" s="45">
        <v>66</v>
      </c>
      <c r="N36" s="45">
        <v>68</v>
      </c>
      <c r="O36" s="18">
        <f>N36/M36</f>
        <v>1.03030303030303</v>
      </c>
    </row>
    <row r="37" ht="16.5" customHeight="1" spans="1:15">
      <c r="A37" s="87" t="s">
        <v>110</v>
      </c>
      <c r="B37" s="52">
        <v>6000</v>
      </c>
      <c r="C37" s="52">
        <v>12503</v>
      </c>
      <c r="D37" s="52">
        <v>12503</v>
      </c>
      <c r="E37" s="5"/>
      <c r="F37" s="34" t="s">
        <v>113</v>
      </c>
      <c r="G37" s="85">
        <f>SUM(G38:G42)</f>
        <v>53600</v>
      </c>
      <c r="H37" s="85">
        <f>SUM(H38:H42)</f>
        <v>53900</v>
      </c>
      <c r="I37" s="85">
        <f>SUM(I38:I42)</f>
        <v>54847</v>
      </c>
      <c r="J37" s="18">
        <f t="shared" si="4"/>
        <v>1.01756957328386</v>
      </c>
      <c r="K37" s="21" t="s">
        <v>109</v>
      </c>
      <c r="L37" s="45">
        <v>66</v>
      </c>
      <c r="M37" s="45">
        <v>66</v>
      </c>
      <c r="N37" s="45">
        <v>57</v>
      </c>
      <c r="O37" s="18">
        <f>N37/M37</f>
        <v>0.863636363636364</v>
      </c>
    </row>
    <row r="38" ht="16.5" customHeight="1" spans="1:15">
      <c r="A38" s="33" t="s">
        <v>112</v>
      </c>
      <c r="B38" s="52">
        <v>10800</v>
      </c>
      <c r="C38" s="52">
        <v>27427</v>
      </c>
      <c r="D38" s="52">
        <v>36780</v>
      </c>
      <c r="E38" s="5"/>
      <c r="F38" s="35" t="s">
        <v>164</v>
      </c>
      <c r="G38" s="51">
        <f>B7</f>
        <v>30568</v>
      </c>
      <c r="H38" s="51">
        <f>C7</f>
        <v>33420</v>
      </c>
      <c r="I38" s="51">
        <f>D7</f>
        <v>34300</v>
      </c>
      <c r="J38" s="5">
        <f t="shared" si="4"/>
        <v>1.0263315380012</v>
      </c>
      <c r="K38" s="21" t="s">
        <v>269</v>
      </c>
      <c r="L38" s="45"/>
      <c r="M38" s="45"/>
      <c r="N38" s="45">
        <v>11</v>
      </c>
      <c r="O38" s="18"/>
    </row>
    <row r="39" ht="16.5" customHeight="1" spans="1:15">
      <c r="A39" s="33"/>
      <c r="B39" s="51"/>
      <c r="C39" s="52"/>
      <c r="D39" s="52"/>
      <c r="E39" s="5"/>
      <c r="F39" s="35" t="s">
        <v>117</v>
      </c>
      <c r="G39" s="51">
        <f t="shared" ref="G39:I40" si="5">B11*1.5</f>
        <v>16863</v>
      </c>
      <c r="H39" s="51">
        <f t="shared" si="5"/>
        <v>14190</v>
      </c>
      <c r="I39" s="51">
        <f t="shared" si="5"/>
        <v>14346</v>
      </c>
      <c r="J39" s="5">
        <f t="shared" si="4"/>
        <v>1.01099365750529</v>
      </c>
      <c r="K39" s="93" t="s">
        <v>116</v>
      </c>
      <c r="L39" s="94"/>
      <c r="M39" s="94"/>
      <c r="N39" s="94"/>
      <c r="O39" s="95"/>
    </row>
    <row r="40" ht="16.5" customHeight="1" spans="1:15">
      <c r="A40" s="33"/>
      <c r="B40" s="51"/>
      <c r="C40" s="52"/>
      <c r="D40" s="52"/>
      <c r="E40" s="5"/>
      <c r="F40" s="35" t="s">
        <v>118</v>
      </c>
      <c r="G40" s="51">
        <f t="shared" si="5"/>
        <v>5985</v>
      </c>
      <c r="H40" s="51">
        <f t="shared" si="5"/>
        <v>6030</v>
      </c>
      <c r="I40" s="51">
        <f t="shared" si="5"/>
        <v>5961</v>
      </c>
      <c r="J40" s="5">
        <f t="shared" si="4"/>
        <v>0.988557213930348</v>
      </c>
      <c r="K40" s="21" t="s">
        <v>119</v>
      </c>
      <c r="L40" s="45">
        <v>70060</v>
      </c>
      <c r="M40" s="66">
        <v>68917</v>
      </c>
      <c r="N40" s="21">
        <v>67694</v>
      </c>
      <c r="O40" s="18">
        <f>N40/M40</f>
        <v>0.982254015700045</v>
      </c>
    </row>
    <row r="41" ht="16.5" customHeight="1" spans="1:15">
      <c r="A41" s="33"/>
      <c r="B41" s="51"/>
      <c r="C41" s="51"/>
      <c r="D41" s="52"/>
      <c r="E41" s="5"/>
      <c r="F41" s="35" t="s">
        <v>120</v>
      </c>
      <c r="G41" s="51">
        <v>184</v>
      </c>
      <c r="H41" s="51">
        <v>120</v>
      </c>
      <c r="I41" s="51">
        <v>115</v>
      </c>
      <c r="J41" s="5">
        <f t="shared" si="4"/>
        <v>0.958333333333333</v>
      </c>
      <c r="K41" s="21" t="s">
        <v>121</v>
      </c>
      <c r="L41" s="96">
        <v>64879</v>
      </c>
      <c r="M41" s="66">
        <v>63843</v>
      </c>
      <c r="N41" s="21">
        <v>54635</v>
      </c>
      <c r="O41" s="18">
        <f>N41/M41</f>
        <v>0.855771188697273</v>
      </c>
    </row>
    <row r="42" ht="16.5" customHeight="1" spans="1:15">
      <c r="A42" s="33"/>
      <c r="B42" s="51"/>
      <c r="C42" s="51"/>
      <c r="D42" s="52"/>
      <c r="E42" s="5"/>
      <c r="F42" s="102" t="s">
        <v>224</v>
      </c>
      <c r="G42" s="1"/>
      <c r="H42" s="4">
        <v>140</v>
      </c>
      <c r="I42" s="4">
        <v>125</v>
      </c>
      <c r="J42" s="5">
        <f t="shared" si="4"/>
        <v>0.892857142857143</v>
      </c>
      <c r="K42" s="21" t="s">
        <v>123</v>
      </c>
      <c r="L42" s="21">
        <f>L40-L41</f>
        <v>5181</v>
      </c>
      <c r="M42" s="21">
        <f>M40-M41</f>
        <v>5074</v>
      </c>
      <c r="N42" s="21">
        <f>N40-N41</f>
        <v>13059</v>
      </c>
      <c r="O42" s="18"/>
    </row>
    <row r="43" ht="17.25" customHeight="1" spans="1:15">
      <c r="A43" s="28" t="s">
        <v>124</v>
      </c>
      <c r="B43" s="52">
        <f>SUM(B5,B31,B35:B38)</f>
        <v>188826</v>
      </c>
      <c r="C43" s="52"/>
      <c r="D43" s="52">
        <f>SUM(D5,D31,D35:D38)</f>
        <v>416307</v>
      </c>
      <c r="E43" s="5"/>
      <c r="F43" s="36" t="s">
        <v>125</v>
      </c>
      <c r="G43" s="85">
        <f>SUM(G36:G37)</f>
        <v>160500</v>
      </c>
      <c r="H43" s="85">
        <f>SUM(H36:H37)</f>
        <v>161500</v>
      </c>
      <c r="I43" s="85">
        <f>SUM(I36:I37)</f>
        <v>165875</v>
      </c>
      <c r="J43" s="18">
        <f t="shared" si="4"/>
        <v>1.02708978328173</v>
      </c>
      <c r="K43" s="21" t="s">
        <v>126</v>
      </c>
      <c r="L43" s="1"/>
      <c r="M43" s="1"/>
      <c r="N43" s="21">
        <v>60132</v>
      </c>
      <c r="O43" s="4"/>
    </row>
    <row r="44" ht="21" customHeight="1"/>
    <row r="45" ht="15.95" customHeight="1"/>
    <row r="46" ht="15.95" customHeight="1"/>
  </sheetData>
  <mergeCells count="8">
    <mergeCell ref="A1:O1"/>
    <mergeCell ref="A3:E3"/>
    <mergeCell ref="F3:J3"/>
    <mergeCell ref="K3:O3"/>
    <mergeCell ref="K16:O16"/>
    <mergeCell ref="F34:J34"/>
    <mergeCell ref="K34:O34"/>
    <mergeCell ref="K39:O39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workbookViewId="0">
      <selection activeCell="M36" sqref="M36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291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293</v>
      </c>
      <c r="C4" s="15" t="s">
        <v>227</v>
      </c>
      <c r="D4" s="15" t="s">
        <v>9</v>
      </c>
      <c r="E4" s="15" t="s">
        <v>10</v>
      </c>
      <c r="F4" s="15" t="s">
        <v>6</v>
      </c>
      <c r="G4" s="15" t="s">
        <v>294</v>
      </c>
      <c r="H4" s="15" t="s">
        <v>227</v>
      </c>
      <c r="I4" s="15" t="s">
        <v>11</v>
      </c>
      <c r="J4" s="15" t="s">
        <v>10</v>
      </c>
      <c r="K4" s="15" t="s">
        <v>6</v>
      </c>
      <c r="L4" s="15" t="s">
        <v>294</v>
      </c>
      <c r="M4" s="15" t="s">
        <v>227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SUM(B6,B22)</f>
        <v>106835</v>
      </c>
      <c r="C5" s="52">
        <f>SUM(C6,C22)</f>
        <v>107501</v>
      </c>
      <c r="D5" s="52">
        <f>C5-B5</f>
        <v>666</v>
      </c>
      <c r="E5" s="18">
        <f t="shared" ref="E5:E40" si="0">D5/B5</f>
        <v>0.00623391210745542</v>
      </c>
      <c r="F5" s="21" t="s">
        <v>13</v>
      </c>
      <c r="G5" s="19">
        <f>SUM(G6:G24)</f>
        <v>259549</v>
      </c>
      <c r="H5" s="19">
        <f>SUM(H6:H24)</f>
        <v>315262</v>
      </c>
      <c r="I5" s="19">
        <f>SUM(I6:I24)</f>
        <v>55713</v>
      </c>
      <c r="J5" s="18">
        <f t="shared" ref="J5:J25" si="1">I5/G5</f>
        <v>0.214653109817414</v>
      </c>
      <c r="K5" s="46" t="s">
        <v>14</v>
      </c>
      <c r="L5" s="52">
        <f>SUM(L6:L13)</f>
        <v>70432</v>
      </c>
      <c r="M5" s="52">
        <f>SUM(M6:M13)</f>
        <v>57039</v>
      </c>
      <c r="N5" s="88">
        <f>SUM(N6:N13)</f>
        <v>-13393</v>
      </c>
      <c r="O5" s="18">
        <f t="shared" ref="O5:O11" si="2">N5/L5</f>
        <v>-0.190155043162199</v>
      </c>
    </row>
    <row r="6" ht="17.25" customHeight="1" spans="1:15">
      <c r="A6" s="21" t="s">
        <v>15</v>
      </c>
      <c r="B6" s="52">
        <f>SUM(B7,B10:B21)</f>
        <v>64775</v>
      </c>
      <c r="C6" s="52">
        <f>SUM(C7,C10:C21)</f>
        <v>68108</v>
      </c>
      <c r="D6" s="52">
        <f>SUM(D7,D10:D21)</f>
        <v>3333</v>
      </c>
      <c r="E6" s="18">
        <f t="shared" si="0"/>
        <v>0.0514550366653802</v>
      </c>
      <c r="F6" s="1" t="s">
        <v>228</v>
      </c>
      <c r="G6" s="22">
        <v>20575</v>
      </c>
      <c r="H6" s="22">
        <v>21049</v>
      </c>
      <c r="I6" s="51">
        <f t="shared" ref="I6:I33" si="3">H6-G6</f>
        <v>474</v>
      </c>
      <c r="J6" s="5">
        <f t="shared" si="1"/>
        <v>0.0230376670716889</v>
      </c>
      <c r="K6" s="42" t="s">
        <v>295</v>
      </c>
      <c r="L6" s="51">
        <v>41</v>
      </c>
      <c r="M6" s="51"/>
      <c r="N6" s="51">
        <f t="shared" ref="N6:N17" si="4">M6-L6</f>
        <v>-41</v>
      </c>
      <c r="O6" s="5">
        <f t="shared" si="2"/>
        <v>-1</v>
      </c>
    </row>
    <row r="7" ht="17.25" customHeight="1" spans="1:15">
      <c r="A7" s="1" t="s">
        <v>18</v>
      </c>
      <c r="B7" s="51">
        <f>SUM(B8:B9)</f>
        <v>11866</v>
      </c>
      <c r="C7" s="51">
        <f>SUM(C8:C9)</f>
        <v>22805</v>
      </c>
      <c r="D7" s="51">
        <f>SUM(D8:D9)</f>
        <v>10939</v>
      </c>
      <c r="E7" s="5">
        <f t="shared" si="0"/>
        <v>0.92187763357492</v>
      </c>
      <c r="F7" s="1" t="s">
        <v>229</v>
      </c>
      <c r="G7" s="22">
        <v>378</v>
      </c>
      <c r="H7" s="22">
        <v>367</v>
      </c>
      <c r="I7" s="51">
        <f t="shared" si="3"/>
        <v>-11</v>
      </c>
      <c r="J7" s="5">
        <f t="shared" si="1"/>
        <v>-0.0291005291005291</v>
      </c>
      <c r="K7" s="42" t="s">
        <v>296</v>
      </c>
      <c r="L7" s="51">
        <v>67936</v>
      </c>
      <c r="M7" s="51">
        <v>53473</v>
      </c>
      <c r="N7" s="51">
        <f t="shared" si="4"/>
        <v>-14463</v>
      </c>
      <c r="O7" s="5">
        <f t="shared" si="2"/>
        <v>-0.212891544983514</v>
      </c>
    </row>
    <row r="8" ht="17.25" customHeight="1" spans="1:15">
      <c r="A8" s="1" t="s">
        <v>297</v>
      </c>
      <c r="B8" s="51">
        <v>9671</v>
      </c>
      <c r="C8" s="51">
        <v>16787</v>
      </c>
      <c r="D8" s="51">
        <f t="shared" ref="D8:D21" si="5">C8-B8</f>
        <v>7116</v>
      </c>
      <c r="E8" s="5">
        <f t="shared" si="0"/>
        <v>0.7358080860304</v>
      </c>
      <c r="F8" s="1" t="s">
        <v>231</v>
      </c>
      <c r="G8" s="22">
        <v>11257</v>
      </c>
      <c r="H8" s="22">
        <v>12119</v>
      </c>
      <c r="I8" s="51">
        <f t="shared" si="3"/>
        <v>862</v>
      </c>
      <c r="J8" s="5">
        <f t="shared" si="1"/>
        <v>0.0765745758194901</v>
      </c>
      <c r="K8" s="42" t="s">
        <v>298</v>
      </c>
      <c r="L8" s="51">
        <v>365</v>
      </c>
      <c r="M8" s="51">
        <v>845</v>
      </c>
      <c r="N8" s="51">
        <f t="shared" si="4"/>
        <v>480</v>
      </c>
      <c r="O8" s="5">
        <f t="shared" si="2"/>
        <v>1.31506849315068</v>
      </c>
    </row>
    <row r="9" ht="17.25" customHeight="1" spans="1:15">
      <c r="A9" s="1" t="s">
        <v>299</v>
      </c>
      <c r="B9" s="51">
        <v>2195</v>
      </c>
      <c r="C9" s="51">
        <v>6018</v>
      </c>
      <c r="D9" s="51">
        <f t="shared" si="5"/>
        <v>3823</v>
      </c>
      <c r="E9" s="5">
        <f t="shared" si="0"/>
        <v>1.74168564920273</v>
      </c>
      <c r="F9" s="1" t="s">
        <v>233</v>
      </c>
      <c r="G9" s="22">
        <v>68786</v>
      </c>
      <c r="H9" s="22">
        <v>71959</v>
      </c>
      <c r="I9" s="51">
        <f t="shared" si="3"/>
        <v>3173</v>
      </c>
      <c r="J9" s="5">
        <f t="shared" si="1"/>
        <v>0.0461285726746722</v>
      </c>
      <c r="K9" s="42" t="s">
        <v>300</v>
      </c>
      <c r="L9" s="51">
        <v>643</v>
      </c>
      <c r="M9" s="51">
        <v>1678</v>
      </c>
      <c r="N9" s="51">
        <f t="shared" si="4"/>
        <v>1035</v>
      </c>
      <c r="O9" s="5">
        <f t="shared" si="2"/>
        <v>1.60964230171073</v>
      </c>
    </row>
    <row r="10" ht="17.25" customHeight="1" spans="1:15">
      <c r="A10" s="1" t="s">
        <v>301</v>
      </c>
      <c r="B10" s="51">
        <v>20930</v>
      </c>
      <c r="C10" s="51">
        <v>8371</v>
      </c>
      <c r="D10" s="51">
        <f t="shared" si="5"/>
        <v>-12559</v>
      </c>
      <c r="E10" s="5">
        <f t="shared" si="0"/>
        <v>-0.600047778308648</v>
      </c>
      <c r="F10" s="1" t="s">
        <v>235</v>
      </c>
      <c r="G10" s="22">
        <v>2636</v>
      </c>
      <c r="H10" s="22">
        <v>2712</v>
      </c>
      <c r="I10" s="51">
        <f t="shared" si="3"/>
        <v>76</v>
      </c>
      <c r="J10" s="5">
        <f t="shared" si="1"/>
        <v>0.0288315629742033</v>
      </c>
      <c r="K10" s="42" t="s">
        <v>302</v>
      </c>
      <c r="L10" s="51">
        <v>392</v>
      </c>
      <c r="M10" s="51">
        <v>487</v>
      </c>
      <c r="N10" s="51">
        <f t="shared" si="4"/>
        <v>95</v>
      </c>
      <c r="O10" s="5">
        <f t="shared" si="2"/>
        <v>0.24234693877551</v>
      </c>
    </row>
    <row r="11" ht="17.25" customHeight="1" spans="1:15">
      <c r="A11" s="1" t="s">
        <v>30</v>
      </c>
      <c r="B11" s="51">
        <v>9857</v>
      </c>
      <c r="C11" s="51">
        <v>12149</v>
      </c>
      <c r="D11" s="51">
        <f t="shared" si="5"/>
        <v>2292</v>
      </c>
      <c r="E11" s="5">
        <f t="shared" si="0"/>
        <v>0.232525109059552</v>
      </c>
      <c r="F11" s="1" t="s">
        <v>237</v>
      </c>
      <c r="G11" s="22">
        <v>3053</v>
      </c>
      <c r="H11" s="22">
        <v>3088</v>
      </c>
      <c r="I11" s="51">
        <f t="shared" si="3"/>
        <v>35</v>
      </c>
      <c r="J11" s="5">
        <f t="shared" si="1"/>
        <v>0.0114641336390436</v>
      </c>
      <c r="K11" s="42" t="s">
        <v>303</v>
      </c>
      <c r="L11" s="51">
        <v>126</v>
      </c>
      <c r="M11" s="51"/>
      <c r="N11" s="51">
        <f t="shared" si="4"/>
        <v>-126</v>
      </c>
      <c r="O11" s="5">
        <f t="shared" si="2"/>
        <v>-1</v>
      </c>
    </row>
    <row r="12" ht="17.25" customHeight="1" spans="1:15">
      <c r="A12" s="1" t="s">
        <v>33</v>
      </c>
      <c r="B12" s="51">
        <v>3780</v>
      </c>
      <c r="C12" s="51">
        <v>4597</v>
      </c>
      <c r="D12" s="51">
        <f t="shared" si="5"/>
        <v>817</v>
      </c>
      <c r="E12" s="5">
        <f t="shared" si="0"/>
        <v>0.216137566137566</v>
      </c>
      <c r="F12" s="1" t="s">
        <v>239</v>
      </c>
      <c r="G12" s="22">
        <v>22047</v>
      </c>
      <c r="H12" s="22">
        <v>28457</v>
      </c>
      <c r="I12" s="51">
        <f t="shared" si="3"/>
        <v>6410</v>
      </c>
      <c r="J12" s="5">
        <f t="shared" si="1"/>
        <v>0.290742504649159</v>
      </c>
      <c r="K12" s="42" t="s">
        <v>304</v>
      </c>
      <c r="L12" s="51">
        <v>399</v>
      </c>
      <c r="M12" s="51">
        <v>486</v>
      </c>
      <c r="N12" s="51">
        <f t="shared" si="4"/>
        <v>87</v>
      </c>
      <c r="O12" s="5"/>
    </row>
    <row r="13" ht="17.25" customHeight="1" spans="1:15">
      <c r="A13" s="1" t="s">
        <v>36</v>
      </c>
      <c r="B13" s="51">
        <v>2306</v>
      </c>
      <c r="C13" s="51">
        <v>2035</v>
      </c>
      <c r="D13" s="51">
        <f t="shared" si="5"/>
        <v>-271</v>
      </c>
      <c r="E13" s="5">
        <f t="shared" si="0"/>
        <v>-0.117519514310494</v>
      </c>
      <c r="F13" s="1" t="s">
        <v>240</v>
      </c>
      <c r="G13" s="22">
        <v>38195</v>
      </c>
      <c r="H13" s="22">
        <v>43142</v>
      </c>
      <c r="I13" s="51">
        <f t="shared" si="3"/>
        <v>4947</v>
      </c>
      <c r="J13" s="5">
        <f t="shared" si="1"/>
        <v>0.129519570624427</v>
      </c>
      <c r="K13" s="42" t="s">
        <v>305</v>
      </c>
      <c r="L13" s="51">
        <v>530</v>
      </c>
      <c r="M13" s="51">
        <v>70</v>
      </c>
      <c r="N13" s="51">
        <f t="shared" si="4"/>
        <v>-460</v>
      </c>
      <c r="O13" s="5">
        <f>N13/L13</f>
        <v>-0.867924528301887</v>
      </c>
    </row>
    <row r="14" ht="17.25" customHeight="1" spans="1:15">
      <c r="A14" s="1" t="s">
        <v>39</v>
      </c>
      <c r="B14" s="51">
        <v>3101</v>
      </c>
      <c r="C14" s="51">
        <v>2824</v>
      </c>
      <c r="D14" s="51">
        <f t="shared" si="5"/>
        <v>-277</v>
      </c>
      <c r="E14" s="5">
        <f t="shared" si="0"/>
        <v>-0.0893260238632699</v>
      </c>
      <c r="F14" s="1" t="s">
        <v>241</v>
      </c>
      <c r="G14" s="22">
        <v>10635</v>
      </c>
      <c r="H14" s="22">
        <v>10435</v>
      </c>
      <c r="I14" s="51">
        <f t="shared" si="3"/>
        <v>-200</v>
      </c>
      <c r="J14" s="5">
        <f t="shared" si="1"/>
        <v>-0.0188058298072402</v>
      </c>
      <c r="K14" s="21" t="s">
        <v>32</v>
      </c>
      <c r="L14" s="85">
        <v>13937</v>
      </c>
      <c r="M14" s="85">
        <v>5804</v>
      </c>
      <c r="N14" s="52">
        <f t="shared" si="4"/>
        <v>-8133</v>
      </c>
      <c r="O14" s="18">
        <f>N14/L14</f>
        <v>-0.583554566979981</v>
      </c>
    </row>
    <row r="15" ht="17.25" customHeight="1" spans="1:15">
      <c r="A15" s="1" t="s">
        <v>42</v>
      </c>
      <c r="B15" s="51">
        <v>1540</v>
      </c>
      <c r="C15" s="51">
        <v>1523</v>
      </c>
      <c r="D15" s="51">
        <f t="shared" si="5"/>
        <v>-17</v>
      </c>
      <c r="E15" s="5">
        <f t="shared" si="0"/>
        <v>-0.011038961038961</v>
      </c>
      <c r="F15" s="1" t="s">
        <v>242</v>
      </c>
      <c r="G15" s="22">
        <v>6560</v>
      </c>
      <c r="H15" s="22">
        <v>30484</v>
      </c>
      <c r="I15" s="51">
        <f t="shared" si="3"/>
        <v>23924</v>
      </c>
      <c r="J15" s="5">
        <f t="shared" si="1"/>
        <v>3.64695121951219</v>
      </c>
      <c r="K15" s="21" t="s">
        <v>35</v>
      </c>
      <c r="L15" s="85">
        <v>7606</v>
      </c>
      <c r="M15" s="85">
        <v>10388</v>
      </c>
      <c r="N15" s="85">
        <f t="shared" si="4"/>
        <v>2782</v>
      </c>
      <c r="O15" s="18">
        <f>N15/L15</f>
        <v>0.365763870628451</v>
      </c>
    </row>
    <row r="16" ht="17.25" customHeight="1" spans="1:15">
      <c r="A16" s="1" t="s">
        <v>45</v>
      </c>
      <c r="B16" s="51">
        <v>744</v>
      </c>
      <c r="C16" s="51">
        <v>803</v>
      </c>
      <c r="D16" s="51">
        <f t="shared" si="5"/>
        <v>59</v>
      </c>
      <c r="E16" s="5">
        <f t="shared" si="0"/>
        <v>0.0793010752688172</v>
      </c>
      <c r="F16" s="1" t="s">
        <v>243</v>
      </c>
      <c r="G16" s="22">
        <v>47695</v>
      </c>
      <c r="H16" s="22">
        <v>46158</v>
      </c>
      <c r="I16" s="51">
        <f t="shared" si="3"/>
        <v>-1537</v>
      </c>
      <c r="J16" s="5">
        <f t="shared" si="1"/>
        <v>-0.0322256001677325</v>
      </c>
      <c r="K16" s="21" t="s">
        <v>108</v>
      </c>
      <c r="L16" s="85">
        <v>15882</v>
      </c>
      <c r="M16" s="85"/>
      <c r="N16" s="85"/>
      <c r="O16" s="18"/>
    </row>
    <row r="17" ht="17.25" customHeight="1" spans="1:15">
      <c r="A17" s="1" t="s">
        <v>47</v>
      </c>
      <c r="B17" s="51">
        <v>2252</v>
      </c>
      <c r="C17" s="51">
        <v>2074</v>
      </c>
      <c r="D17" s="51">
        <f t="shared" si="5"/>
        <v>-178</v>
      </c>
      <c r="E17" s="5">
        <f t="shared" si="0"/>
        <v>-0.0790408525754885</v>
      </c>
      <c r="F17" s="1" t="s">
        <v>244</v>
      </c>
      <c r="G17" s="22">
        <v>12779</v>
      </c>
      <c r="H17" s="22">
        <v>5533</v>
      </c>
      <c r="I17" s="51">
        <f t="shared" si="3"/>
        <v>-7246</v>
      </c>
      <c r="J17" s="5">
        <f t="shared" si="1"/>
        <v>-0.567024023789029</v>
      </c>
      <c r="K17" s="46" t="s">
        <v>41</v>
      </c>
      <c r="L17" s="85">
        <f>SUM(L15,L14,L5,L16)</f>
        <v>107857</v>
      </c>
      <c r="M17" s="85">
        <f>SUM(M15,M14,M5,M16)</f>
        <v>73231</v>
      </c>
      <c r="N17" s="89">
        <f t="shared" si="4"/>
        <v>-34626</v>
      </c>
      <c r="O17" s="18">
        <f>N17/L17</f>
        <v>-0.321036186802896</v>
      </c>
    </row>
    <row r="18" ht="17.25" customHeight="1" spans="1:15">
      <c r="A18" s="1" t="s">
        <v>50</v>
      </c>
      <c r="B18" s="51">
        <v>4546</v>
      </c>
      <c r="C18" s="51">
        <v>5705</v>
      </c>
      <c r="D18" s="51">
        <f t="shared" si="5"/>
        <v>1159</v>
      </c>
      <c r="E18" s="5">
        <f t="shared" si="0"/>
        <v>0.254949406071271</v>
      </c>
      <c r="F18" s="1" t="s">
        <v>245</v>
      </c>
      <c r="G18" s="22">
        <v>2546</v>
      </c>
      <c r="H18" s="22">
        <v>5477</v>
      </c>
      <c r="I18" s="51">
        <f t="shared" si="3"/>
        <v>2931</v>
      </c>
      <c r="J18" s="5">
        <f t="shared" si="1"/>
        <v>1.15121759622938</v>
      </c>
      <c r="K18" s="12" t="s">
        <v>306</v>
      </c>
      <c r="L18" s="13"/>
      <c r="M18" s="13"/>
      <c r="N18" s="13"/>
      <c r="O18" s="40"/>
    </row>
    <row r="19" ht="17.25" customHeight="1" spans="1:15">
      <c r="A19" s="1" t="s">
        <v>53</v>
      </c>
      <c r="B19" s="51">
        <v>1208</v>
      </c>
      <c r="C19" s="51">
        <v>1200</v>
      </c>
      <c r="D19" s="51">
        <f t="shared" si="5"/>
        <v>-8</v>
      </c>
      <c r="E19" s="5">
        <f t="shared" si="0"/>
        <v>-0.00662251655629139</v>
      </c>
      <c r="F19" s="1" t="s">
        <v>246</v>
      </c>
      <c r="G19" s="22">
        <v>1584</v>
      </c>
      <c r="H19" s="22">
        <v>2906</v>
      </c>
      <c r="I19" s="51">
        <f t="shared" si="3"/>
        <v>1322</v>
      </c>
      <c r="J19" s="5">
        <f t="shared" si="1"/>
        <v>0.83459595959596</v>
      </c>
      <c r="K19" s="46" t="s">
        <v>49</v>
      </c>
      <c r="L19" s="52">
        <f>SUM(L20:L32)</f>
        <v>78365</v>
      </c>
      <c r="M19" s="52">
        <f>SUM(M20:M32)</f>
        <v>53674</v>
      </c>
      <c r="N19" s="88">
        <f>SUM(N20:N32)</f>
        <v>-24691</v>
      </c>
      <c r="O19" s="18">
        <f t="shared" ref="O19:O33" si="6">N19/L19</f>
        <v>-0.315076883812927</v>
      </c>
    </row>
    <row r="20" ht="17.25" customHeight="1" spans="1:15">
      <c r="A20" s="1" t="s">
        <v>247</v>
      </c>
      <c r="B20" s="51">
        <v>1498</v>
      </c>
      <c r="C20" s="51">
        <v>612</v>
      </c>
      <c r="D20" s="51">
        <f t="shared" si="5"/>
        <v>-886</v>
      </c>
      <c r="E20" s="5">
        <f t="shared" si="0"/>
        <v>-0.591455273698264</v>
      </c>
      <c r="F20" s="1" t="s">
        <v>248</v>
      </c>
      <c r="G20" s="22">
        <v>3003</v>
      </c>
      <c r="H20" s="22">
        <v>2796</v>
      </c>
      <c r="I20" s="51">
        <f t="shared" si="3"/>
        <v>-207</v>
      </c>
      <c r="J20" s="5">
        <f t="shared" si="1"/>
        <v>-0.0689310689310689</v>
      </c>
      <c r="K20" s="42" t="s">
        <v>307</v>
      </c>
      <c r="L20" s="51">
        <v>705</v>
      </c>
      <c r="M20" s="51">
        <v>678</v>
      </c>
      <c r="N20" s="51">
        <f t="shared" ref="N20:N35" si="7">M20-L20</f>
        <v>-27</v>
      </c>
      <c r="O20" s="5">
        <f t="shared" si="6"/>
        <v>-0.0382978723404255</v>
      </c>
    </row>
    <row r="21" ht="17.25" customHeight="1" spans="1:15">
      <c r="A21" s="1" t="s">
        <v>250</v>
      </c>
      <c r="B21" s="51">
        <v>1147</v>
      </c>
      <c r="C21" s="51">
        <v>3410</v>
      </c>
      <c r="D21" s="51">
        <f t="shared" si="5"/>
        <v>2263</v>
      </c>
      <c r="E21" s="5">
        <f t="shared" si="0"/>
        <v>1.97297297297297</v>
      </c>
      <c r="F21" s="1" t="s">
        <v>251</v>
      </c>
      <c r="G21" s="22">
        <v>4322</v>
      </c>
      <c r="H21" s="22">
        <v>17375</v>
      </c>
      <c r="I21" s="51">
        <f t="shared" si="3"/>
        <v>13053</v>
      </c>
      <c r="J21" s="5">
        <f t="shared" si="1"/>
        <v>3.02012956964368</v>
      </c>
      <c r="K21" s="42" t="s">
        <v>308</v>
      </c>
      <c r="L21" s="51">
        <v>875</v>
      </c>
      <c r="M21" s="51"/>
      <c r="N21" s="51">
        <f t="shared" si="7"/>
        <v>-875</v>
      </c>
      <c r="O21" s="5">
        <f t="shared" si="6"/>
        <v>-1</v>
      </c>
    </row>
    <row r="22" ht="17.25" customHeight="1" spans="1:15">
      <c r="A22" s="21" t="s">
        <v>68</v>
      </c>
      <c r="B22" s="52">
        <f>SUM(B23,B27:B32)</f>
        <v>42060</v>
      </c>
      <c r="C22" s="52">
        <f>SUM(C23,C27:C32)</f>
        <v>39393</v>
      </c>
      <c r="D22" s="52">
        <f>SUM(D23,D27:D32)</f>
        <v>-2667</v>
      </c>
      <c r="E22" s="18">
        <f t="shared" si="0"/>
        <v>-0.0634094151212553</v>
      </c>
      <c r="F22" s="1" t="s">
        <v>253</v>
      </c>
      <c r="G22" s="22">
        <v>2775</v>
      </c>
      <c r="H22" s="22">
        <v>1774</v>
      </c>
      <c r="I22" s="51">
        <f t="shared" si="3"/>
        <v>-1001</v>
      </c>
      <c r="J22" s="5">
        <f t="shared" si="1"/>
        <v>-0.360720720720721</v>
      </c>
      <c r="K22" s="42" t="s">
        <v>252</v>
      </c>
      <c r="L22" s="51">
        <v>65917</v>
      </c>
      <c r="M22" s="51">
        <v>38999</v>
      </c>
      <c r="N22" s="51">
        <f t="shared" si="7"/>
        <v>-26918</v>
      </c>
      <c r="O22" s="5">
        <f t="shared" si="6"/>
        <v>-0.408362031039034</v>
      </c>
    </row>
    <row r="23" ht="17.25" customHeight="1" spans="1:15">
      <c r="A23" s="21" t="s">
        <v>71</v>
      </c>
      <c r="B23" s="52">
        <v>6348</v>
      </c>
      <c r="C23" s="52">
        <v>3630</v>
      </c>
      <c r="D23" s="52">
        <f t="shared" ref="D23:D40" si="8">C23-B23</f>
        <v>-2718</v>
      </c>
      <c r="E23" s="18">
        <f t="shared" si="0"/>
        <v>-0.428166351606805</v>
      </c>
      <c r="F23" s="1" t="s">
        <v>255</v>
      </c>
      <c r="G23" s="22">
        <v>647</v>
      </c>
      <c r="H23" s="22">
        <v>9043</v>
      </c>
      <c r="I23" s="51">
        <f t="shared" si="3"/>
        <v>8396</v>
      </c>
      <c r="J23" s="5">
        <f t="shared" si="1"/>
        <v>12.9768160741886</v>
      </c>
      <c r="K23" s="42" t="s">
        <v>254</v>
      </c>
      <c r="L23" s="51">
        <v>566</v>
      </c>
      <c r="M23" s="51">
        <v>602</v>
      </c>
      <c r="N23" s="51">
        <f t="shared" si="7"/>
        <v>36</v>
      </c>
      <c r="O23" s="5">
        <f t="shared" si="6"/>
        <v>0.0636042402826855</v>
      </c>
    </row>
    <row r="24" ht="17.25" customHeight="1" spans="1:15">
      <c r="A24" s="1" t="s">
        <v>309</v>
      </c>
      <c r="B24" s="51">
        <v>143</v>
      </c>
      <c r="C24" s="51">
        <v>146</v>
      </c>
      <c r="D24" s="51">
        <f t="shared" si="8"/>
        <v>3</v>
      </c>
      <c r="E24" s="5">
        <f t="shared" si="0"/>
        <v>0.020979020979021</v>
      </c>
      <c r="F24" s="1" t="s">
        <v>257</v>
      </c>
      <c r="G24" s="22">
        <v>76</v>
      </c>
      <c r="H24" s="22">
        <v>388</v>
      </c>
      <c r="I24" s="51">
        <f t="shared" si="3"/>
        <v>312</v>
      </c>
      <c r="J24" s="5">
        <f t="shared" si="1"/>
        <v>4.10526315789474</v>
      </c>
      <c r="K24" s="42" t="s">
        <v>256</v>
      </c>
      <c r="L24" s="51">
        <v>312</v>
      </c>
      <c r="M24" s="51">
        <v>520</v>
      </c>
      <c r="N24" s="51">
        <f t="shared" si="7"/>
        <v>208</v>
      </c>
      <c r="O24" s="5">
        <f t="shared" si="6"/>
        <v>0.666666666666667</v>
      </c>
    </row>
    <row r="25" ht="17.25" customHeight="1" spans="1:15">
      <c r="A25" s="1" t="s">
        <v>310</v>
      </c>
      <c r="B25" s="51">
        <v>237</v>
      </c>
      <c r="C25" s="51">
        <v>227</v>
      </c>
      <c r="D25" s="51">
        <f t="shared" si="8"/>
        <v>-10</v>
      </c>
      <c r="E25" s="5">
        <f t="shared" si="0"/>
        <v>-0.0421940928270042</v>
      </c>
      <c r="F25" s="26" t="s">
        <v>78</v>
      </c>
      <c r="G25" s="69">
        <f>SUM(G26:G27)</f>
        <v>3155</v>
      </c>
      <c r="H25" s="69">
        <f>SUM(H26:H27)</f>
        <v>1761</v>
      </c>
      <c r="I25" s="52">
        <f t="shared" si="3"/>
        <v>-1394</v>
      </c>
      <c r="J25" s="18">
        <f t="shared" si="1"/>
        <v>-0.441838351822504</v>
      </c>
      <c r="K25" s="42" t="s">
        <v>311</v>
      </c>
      <c r="L25" s="51">
        <v>261</v>
      </c>
      <c r="M25" s="51"/>
      <c r="N25" s="51">
        <f t="shared" si="7"/>
        <v>-261</v>
      </c>
      <c r="O25" s="5">
        <f t="shared" si="6"/>
        <v>-1</v>
      </c>
    </row>
    <row r="26" ht="17.25" customHeight="1" spans="1:15">
      <c r="A26" s="1" t="s">
        <v>312</v>
      </c>
      <c r="B26" s="51">
        <v>2248</v>
      </c>
      <c r="C26" s="51">
        <v>1848</v>
      </c>
      <c r="D26" s="51">
        <f t="shared" si="8"/>
        <v>-400</v>
      </c>
      <c r="E26" s="5">
        <f t="shared" si="0"/>
        <v>-0.177935943060498</v>
      </c>
      <c r="F26" s="1" t="s">
        <v>81</v>
      </c>
      <c r="G26" s="22"/>
      <c r="H26" s="22"/>
      <c r="I26" s="51">
        <f t="shared" si="3"/>
        <v>0</v>
      </c>
      <c r="J26" s="18"/>
      <c r="K26" s="42" t="s">
        <v>259</v>
      </c>
      <c r="L26" s="51"/>
      <c r="M26" s="51">
        <v>281</v>
      </c>
      <c r="N26" s="51">
        <f t="shared" si="7"/>
        <v>281</v>
      </c>
      <c r="O26" s="5"/>
    </row>
    <row r="27" ht="17.25" customHeight="1" spans="1:15">
      <c r="A27" s="1" t="s">
        <v>77</v>
      </c>
      <c r="B27" s="51">
        <v>11264</v>
      </c>
      <c r="C27" s="51">
        <v>10179</v>
      </c>
      <c r="D27" s="51">
        <f t="shared" si="8"/>
        <v>-1085</v>
      </c>
      <c r="E27" s="5">
        <f t="shared" si="0"/>
        <v>-0.0963245738636364</v>
      </c>
      <c r="F27" s="1" t="s">
        <v>84</v>
      </c>
      <c r="G27" s="22">
        <v>3155</v>
      </c>
      <c r="H27" s="22">
        <v>1761</v>
      </c>
      <c r="I27" s="51">
        <f t="shared" si="3"/>
        <v>-1394</v>
      </c>
      <c r="J27" s="5">
        <f t="shared" ref="J27:J32" si="9">I27/G27</f>
        <v>-0.441838351822504</v>
      </c>
      <c r="K27" s="42" t="s">
        <v>260</v>
      </c>
      <c r="L27" s="51">
        <v>4531</v>
      </c>
      <c r="M27" s="51">
        <v>5786</v>
      </c>
      <c r="N27" s="51">
        <f t="shared" si="7"/>
        <v>1255</v>
      </c>
      <c r="O27" s="5">
        <f t="shared" si="6"/>
        <v>0.276980798940631</v>
      </c>
    </row>
    <row r="28" ht="17.25" customHeight="1" spans="1:15">
      <c r="A28" s="1" t="s">
        <v>80</v>
      </c>
      <c r="B28" s="51">
        <v>3790</v>
      </c>
      <c r="C28" s="51">
        <v>4364</v>
      </c>
      <c r="D28" s="51">
        <f t="shared" si="8"/>
        <v>574</v>
      </c>
      <c r="E28" s="5">
        <f t="shared" si="0"/>
        <v>0.151451187335092</v>
      </c>
      <c r="F28" s="26" t="s">
        <v>87</v>
      </c>
      <c r="G28" s="19">
        <v>249667</v>
      </c>
      <c r="H28" s="19">
        <v>12080</v>
      </c>
      <c r="I28" s="101">
        <f t="shared" si="3"/>
        <v>-237587</v>
      </c>
      <c r="J28" s="98">
        <f t="shared" si="9"/>
        <v>-0.951615551915151</v>
      </c>
      <c r="K28" s="42" t="s">
        <v>261</v>
      </c>
      <c r="L28" s="51">
        <v>1222</v>
      </c>
      <c r="M28" s="51">
        <v>1515</v>
      </c>
      <c r="N28" s="51">
        <f t="shared" si="7"/>
        <v>293</v>
      </c>
      <c r="O28" s="5">
        <f t="shared" si="6"/>
        <v>0.239770867430442</v>
      </c>
    </row>
    <row r="29" ht="17.25" customHeight="1" spans="1:15">
      <c r="A29" s="1" t="s">
        <v>83</v>
      </c>
      <c r="B29" s="51">
        <v>8993</v>
      </c>
      <c r="C29" s="51">
        <v>4900</v>
      </c>
      <c r="D29" s="51">
        <f t="shared" si="8"/>
        <v>-4093</v>
      </c>
      <c r="E29" s="5">
        <f t="shared" si="0"/>
        <v>-0.455131769153786</v>
      </c>
      <c r="F29" s="26" t="s">
        <v>90</v>
      </c>
      <c r="G29" s="19">
        <v>8565</v>
      </c>
      <c r="H29" s="19">
        <v>6503</v>
      </c>
      <c r="I29" s="52">
        <f t="shared" si="3"/>
        <v>-2062</v>
      </c>
      <c r="J29" s="97">
        <f t="shared" si="9"/>
        <v>-0.240747227086982</v>
      </c>
      <c r="K29" s="42" t="s">
        <v>262</v>
      </c>
      <c r="L29" s="51">
        <v>17</v>
      </c>
      <c r="M29" s="51">
        <v>551</v>
      </c>
      <c r="N29" s="51">
        <f t="shared" si="7"/>
        <v>534</v>
      </c>
      <c r="O29" s="5">
        <f t="shared" si="6"/>
        <v>31.4117647058824</v>
      </c>
    </row>
    <row r="30" ht="17.25" customHeight="1" spans="1:15">
      <c r="A30" s="1" t="s">
        <v>86</v>
      </c>
      <c r="B30" s="51">
        <v>686</v>
      </c>
      <c r="C30" s="51">
        <v>1559</v>
      </c>
      <c r="D30" s="51">
        <f t="shared" si="8"/>
        <v>873</v>
      </c>
      <c r="E30" s="5">
        <f t="shared" si="0"/>
        <v>1.27259475218659</v>
      </c>
      <c r="F30" s="21" t="s">
        <v>264</v>
      </c>
      <c r="G30" s="19">
        <v>15991</v>
      </c>
      <c r="H30" s="19">
        <v>7954</v>
      </c>
      <c r="I30" s="52">
        <f t="shared" si="3"/>
        <v>-8037</v>
      </c>
      <c r="J30" s="18">
        <f t="shared" si="9"/>
        <v>-0.502595209805516</v>
      </c>
      <c r="K30" s="42" t="s">
        <v>263</v>
      </c>
      <c r="L30" s="51">
        <v>671</v>
      </c>
      <c r="M30" s="51">
        <v>2495</v>
      </c>
      <c r="N30" s="51">
        <f t="shared" si="7"/>
        <v>1824</v>
      </c>
      <c r="O30" s="5">
        <f t="shared" si="6"/>
        <v>2.71833084947839</v>
      </c>
    </row>
    <row r="31" ht="17.25" customHeight="1" spans="1:15">
      <c r="A31" s="1" t="s">
        <v>89</v>
      </c>
      <c r="B31" s="51"/>
      <c r="C31" s="51">
        <v>44</v>
      </c>
      <c r="D31" s="51">
        <f t="shared" si="8"/>
        <v>44</v>
      </c>
      <c r="E31" s="5"/>
      <c r="F31" s="1" t="s">
        <v>100</v>
      </c>
      <c r="G31" s="22">
        <v>15991</v>
      </c>
      <c r="H31" s="22">
        <v>7954</v>
      </c>
      <c r="I31" s="52">
        <f t="shared" si="3"/>
        <v>-8037</v>
      </c>
      <c r="J31" s="18">
        <f t="shared" si="9"/>
        <v>-0.502595209805516</v>
      </c>
      <c r="K31" s="42" t="s">
        <v>265</v>
      </c>
      <c r="L31" s="51">
        <v>2690</v>
      </c>
      <c r="M31" s="51">
        <v>1755</v>
      </c>
      <c r="N31" s="51">
        <f t="shared" si="7"/>
        <v>-935</v>
      </c>
      <c r="O31" s="5">
        <f t="shared" si="6"/>
        <v>-0.347583643122677</v>
      </c>
    </row>
    <row r="32" ht="17.25" customHeight="1" spans="1:15">
      <c r="A32" s="1" t="s">
        <v>92</v>
      </c>
      <c r="B32" s="51">
        <v>10979</v>
      </c>
      <c r="C32" s="51">
        <v>14717</v>
      </c>
      <c r="D32" s="51">
        <f t="shared" si="8"/>
        <v>3738</v>
      </c>
      <c r="E32" s="5">
        <f t="shared" si="0"/>
        <v>0.340468166499681</v>
      </c>
      <c r="F32" s="21" t="s">
        <v>103</v>
      </c>
      <c r="G32" s="52">
        <f>SUM(G5,G25,G28:G30)</f>
        <v>536927</v>
      </c>
      <c r="H32" s="52">
        <f>SUM(H5,H25,H28:H30)</f>
        <v>343560</v>
      </c>
      <c r="I32" s="100">
        <f t="shared" si="3"/>
        <v>-193367</v>
      </c>
      <c r="J32" s="18">
        <f t="shared" si="9"/>
        <v>-0.360136480378152</v>
      </c>
      <c r="K32" s="42" t="s">
        <v>266</v>
      </c>
      <c r="L32" s="51">
        <v>598</v>
      </c>
      <c r="M32" s="51">
        <v>492</v>
      </c>
      <c r="N32" s="51">
        <f t="shared" si="7"/>
        <v>-106</v>
      </c>
      <c r="O32" s="5">
        <f t="shared" si="6"/>
        <v>-0.177257525083612</v>
      </c>
    </row>
    <row r="33" ht="17.25" customHeight="1" spans="1:15">
      <c r="A33" s="28" t="s">
        <v>94</v>
      </c>
      <c r="B33" s="52">
        <f>SUM(B34:B36)</f>
        <v>148519</v>
      </c>
      <c r="C33" s="52">
        <f>SUM(C34:C36)</f>
        <v>162031</v>
      </c>
      <c r="D33" s="52">
        <f t="shared" si="8"/>
        <v>13512</v>
      </c>
      <c r="E33" s="18">
        <f t="shared" si="0"/>
        <v>0.0909782586739744</v>
      </c>
      <c r="F33" s="21"/>
      <c r="G33" s="52"/>
      <c r="H33" s="52"/>
      <c r="I33" s="52">
        <f t="shared" si="3"/>
        <v>0</v>
      </c>
      <c r="J33" s="18"/>
      <c r="K33" s="16" t="s">
        <v>267</v>
      </c>
      <c r="L33" s="41">
        <v>4104</v>
      </c>
      <c r="M33" s="41">
        <v>9221</v>
      </c>
      <c r="N33" s="41">
        <f t="shared" si="7"/>
        <v>5117</v>
      </c>
      <c r="O33" s="18">
        <f t="shared" si="6"/>
        <v>1.24683235867446</v>
      </c>
    </row>
    <row r="34" ht="17.25" customHeight="1" spans="1:15">
      <c r="A34" s="29" t="s">
        <v>96</v>
      </c>
      <c r="B34" s="51">
        <v>7699</v>
      </c>
      <c r="C34" s="51">
        <v>7735</v>
      </c>
      <c r="D34" s="51">
        <f t="shared" si="8"/>
        <v>36</v>
      </c>
      <c r="E34" s="5">
        <f t="shared" si="0"/>
        <v>0.00467593193921288</v>
      </c>
      <c r="F34" s="21"/>
      <c r="G34" s="52"/>
      <c r="H34" s="52"/>
      <c r="I34" s="52"/>
      <c r="J34" s="18"/>
      <c r="K34" s="16" t="s">
        <v>87</v>
      </c>
      <c r="L34" s="41">
        <v>15000</v>
      </c>
      <c r="M34" s="41"/>
      <c r="N34" s="41"/>
      <c r="O34" s="18"/>
    </row>
    <row r="35" ht="17.25" customHeight="1" spans="1:15">
      <c r="A35" s="29" t="s">
        <v>99</v>
      </c>
      <c r="B35" s="51">
        <v>76235</v>
      </c>
      <c r="C35" s="51">
        <v>74564</v>
      </c>
      <c r="D35" s="51">
        <f t="shared" si="8"/>
        <v>-1671</v>
      </c>
      <c r="E35" s="5">
        <f t="shared" si="0"/>
        <v>-0.0219190660457795</v>
      </c>
      <c r="F35" s="30" t="s">
        <v>106</v>
      </c>
      <c r="G35" s="31"/>
      <c r="H35" s="31"/>
      <c r="I35" s="31"/>
      <c r="J35" s="48"/>
      <c r="K35" s="21" t="s">
        <v>88</v>
      </c>
      <c r="L35" s="52">
        <v>10388</v>
      </c>
      <c r="M35" s="52">
        <v>10336</v>
      </c>
      <c r="N35" s="52">
        <f t="shared" si="7"/>
        <v>-52</v>
      </c>
      <c r="O35" s="18">
        <f>N35/L35</f>
        <v>-0.00500577589526377</v>
      </c>
    </row>
    <row r="36" ht="17.25" customHeight="1" spans="1:15">
      <c r="A36" s="29" t="s">
        <v>102</v>
      </c>
      <c r="B36" s="51">
        <v>64585</v>
      </c>
      <c r="C36" s="51">
        <v>79732</v>
      </c>
      <c r="D36" s="51">
        <f t="shared" si="8"/>
        <v>15147</v>
      </c>
      <c r="E36" s="5">
        <f t="shared" si="0"/>
        <v>0.234528141209259</v>
      </c>
      <c r="F36" s="15" t="s">
        <v>6</v>
      </c>
      <c r="G36" s="15" t="s">
        <v>293</v>
      </c>
      <c r="H36" s="15" t="s">
        <v>227</v>
      </c>
      <c r="I36" s="15" t="s">
        <v>9</v>
      </c>
      <c r="J36" s="15" t="s">
        <v>10</v>
      </c>
      <c r="K36" s="21" t="s">
        <v>91</v>
      </c>
      <c r="L36" s="52">
        <f>SUM(L19,L33:L35)</f>
        <v>107857</v>
      </c>
      <c r="M36" s="52">
        <f>SUM(M19,M33:M35)</f>
        <v>73231</v>
      </c>
      <c r="N36" s="88">
        <f>SUM(N19,N33:N35)</f>
        <v>-19626</v>
      </c>
      <c r="O36" s="18">
        <f>N36/L36</f>
        <v>-0.181963154918086</v>
      </c>
    </row>
    <row r="37" ht="17.25" customHeight="1" spans="1:15">
      <c r="A37" s="33" t="s">
        <v>105</v>
      </c>
      <c r="B37" s="52">
        <v>16792</v>
      </c>
      <c r="C37" s="52">
        <v>15991</v>
      </c>
      <c r="D37" s="52">
        <f t="shared" si="8"/>
        <v>-801</v>
      </c>
      <c r="E37" s="18">
        <f t="shared" si="0"/>
        <v>-0.0477012863268223</v>
      </c>
      <c r="F37" s="21" t="s">
        <v>12</v>
      </c>
      <c r="G37" s="52">
        <f>B5</f>
        <v>106835</v>
      </c>
      <c r="H37" s="52">
        <f>C5</f>
        <v>107501</v>
      </c>
      <c r="I37" s="52">
        <f>H37-G37</f>
        <v>666</v>
      </c>
      <c r="J37" s="18">
        <f t="shared" ref="J37:J44" si="10">I37/G37</f>
        <v>0.00623391210745542</v>
      </c>
      <c r="K37" s="93" t="s">
        <v>98</v>
      </c>
      <c r="L37" s="94"/>
      <c r="M37" s="94"/>
      <c r="N37" s="94"/>
      <c r="O37" s="95"/>
    </row>
    <row r="38" ht="17.25" customHeight="1" spans="1:15">
      <c r="A38" s="33" t="s">
        <v>108</v>
      </c>
      <c r="B38" s="52">
        <v>257518</v>
      </c>
      <c r="C38" s="52">
        <v>45080</v>
      </c>
      <c r="D38" s="100">
        <f t="shared" si="8"/>
        <v>-212438</v>
      </c>
      <c r="E38" s="97">
        <f t="shared" si="0"/>
        <v>-0.824944275739948</v>
      </c>
      <c r="F38" s="34" t="s">
        <v>113</v>
      </c>
      <c r="G38" s="52">
        <f>SUM(G39:G43)</f>
        <v>49662.5</v>
      </c>
      <c r="H38" s="52">
        <f>SUM(H39:H43)</f>
        <v>53853.5</v>
      </c>
      <c r="I38" s="52">
        <f>SUM(I39:I43)</f>
        <v>4191</v>
      </c>
      <c r="J38" s="18">
        <f t="shared" si="10"/>
        <v>0.084389630002517</v>
      </c>
      <c r="K38" s="21" t="s">
        <v>104</v>
      </c>
      <c r="L38" s="45">
        <v>88</v>
      </c>
      <c r="M38" s="45">
        <v>63</v>
      </c>
      <c r="N38" s="52">
        <f t="shared" ref="N38:N44" si="11">M38-L38</f>
        <v>-25</v>
      </c>
      <c r="O38" s="18">
        <f>N38/L38</f>
        <v>-0.284090909090909</v>
      </c>
    </row>
    <row r="39" ht="17.25" customHeight="1" spans="1:15">
      <c r="A39" s="87" t="s">
        <v>110</v>
      </c>
      <c r="B39" s="52">
        <v>667</v>
      </c>
      <c r="C39" s="52">
        <v>2565</v>
      </c>
      <c r="D39" s="52">
        <f t="shared" si="8"/>
        <v>1898</v>
      </c>
      <c r="E39" s="18">
        <f t="shared" si="0"/>
        <v>2.8455772113943</v>
      </c>
      <c r="F39" s="35" t="s">
        <v>313</v>
      </c>
      <c r="G39" s="51">
        <f>B8*3+1</f>
        <v>29014</v>
      </c>
      <c r="H39" s="51">
        <v>26580</v>
      </c>
      <c r="I39" s="51">
        <f>H39-G39</f>
        <v>-2434</v>
      </c>
      <c r="J39" s="5">
        <f t="shared" si="10"/>
        <v>-0.0838905356035018</v>
      </c>
      <c r="K39" s="21" t="s">
        <v>109</v>
      </c>
      <c r="L39" s="45">
        <v>88</v>
      </c>
      <c r="M39" s="45">
        <v>45</v>
      </c>
      <c r="N39" s="52">
        <f t="shared" si="11"/>
        <v>-43</v>
      </c>
      <c r="O39" s="18">
        <f>N39/L39</f>
        <v>-0.488636363636364</v>
      </c>
    </row>
    <row r="40" ht="17.25" customHeight="1" spans="1:15">
      <c r="A40" s="33" t="s">
        <v>112</v>
      </c>
      <c r="B40" s="52">
        <v>6596</v>
      </c>
      <c r="C40" s="52">
        <v>10392</v>
      </c>
      <c r="D40" s="52">
        <f t="shared" si="8"/>
        <v>3796</v>
      </c>
      <c r="E40" s="18">
        <f t="shared" si="0"/>
        <v>0.575500303214069</v>
      </c>
      <c r="F40" s="35" t="s">
        <v>117</v>
      </c>
      <c r="G40" s="51">
        <f>B11*1.5</f>
        <v>14785.5</v>
      </c>
      <c r="H40" s="51">
        <f>C11*1.5-1</f>
        <v>18222.5</v>
      </c>
      <c r="I40" s="51">
        <f>H40-G40</f>
        <v>3437</v>
      </c>
      <c r="J40" s="5">
        <f t="shared" si="10"/>
        <v>0.23245747522911</v>
      </c>
      <c r="K40" s="21" t="s">
        <v>269</v>
      </c>
      <c r="L40" s="45"/>
      <c r="M40" s="45">
        <v>18</v>
      </c>
      <c r="N40" s="52">
        <f t="shared" si="11"/>
        <v>18</v>
      </c>
      <c r="O40" s="18"/>
    </row>
    <row r="41" ht="17.25" customHeight="1" spans="1:15">
      <c r="A41" s="33"/>
      <c r="B41" s="52"/>
      <c r="C41" s="52"/>
      <c r="D41" s="52"/>
      <c r="E41" s="18"/>
      <c r="F41" s="35" t="s">
        <v>118</v>
      </c>
      <c r="G41" s="51">
        <f>B12*1.5</f>
        <v>5670</v>
      </c>
      <c r="H41" s="51">
        <f>C12*1.5+0.5</f>
        <v>6896</v>
      </c>
      <c r="I41" s="51">
        <f>H41-G41</f>
        <v>1226</v>
      </c>
      <c r="J41" s="5">
        <f t="shared" si="10"/>
        <v>0.216225749559083</v>
      </c>
      <c r="K41" s="93" t="s">
        <v>116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314</v>
      </c>
      <c r="G42" s="51">
        <v>193</v>
      </c>
      <c r="H42" s="51">
        <v>139</v>
      </c>
      <c r="I42" s="51">
        <f>H42-G42</f>
        <v>-54</v>
      </c>
      <c r="J42" s="5">
        <f t="shared" si="10"/>
        <v>-0.27979274611399</v>
      </c>
      <c r="K42" s="21" t="s">
        <v>119</v>
      </c>
      <c r="L42" s="45">
        <v>37523</v>
      </c>
      <c r="M42" s="45">
        <v>64249</v>
      </c>
      <c r="N42" s="52">
        <f t="shared" si="11"/>
        <v>26726</v>
      </c>
      <c r="O42" s="18">
        <f>N42/L42</f>
        <v>0.712256482690616</v>
      </c>
    </row>
    <row r="43" ht="18" customHeight="1" spans="1:15">
      <c r="A43" s="1"/>
      <c r="B43" s="51"/>
      <c r="C43" s="51"/>
      <c r="D43" s="51"/>
      <c r="E43" s="18"/>
      <c r="F43" s="35" t="s">
        <v>315</v>
      </c>
      <c r="G43" s="51"/>
      <c r="H43" s="51">
        <v>2016</v>
      </c>
      <c r="I43" s="51">
        <f>H43-G43</f>
        <v>2016</v>
      </c>
      <c r="J43" s="5"/>
      <c r="K43" s="21" t="s">
        <v>121</v>
      </c>
      <c r="L43" s="45">
        <v>25398</v>
      </c>
      <c r="M43" s="45">
        <v>54403</v>
      </c>
      <c r="N43" s="52">
        <f t="shared" si="11"/>
        <v>29005</v>
      </c>
      <c r="O43" s="18">
        <f>N43/L43</f>
        <v>1.14201905661863</v>
      </c>
    </row>
    <row r="44" ht="18" customHeight="1" spans="1:15">
      <c r="A44" s="28" t="s">
        <v>124</v>
      </c>
      <c r="B44" s="52">
        <f>SUM(B5,B33,B37:B40)</f>
        <v>536927</v>
      </c>
      <c r="C44" s="52">
        <f>SUM(C5,C33,C37:C40)</f>
        <v>343560</v>
      </c>
      <c r="D44" s="100">
        <f>SUM(D5,D33,D37:D38)</f>
        <v>-199061</v>
      </c>
      <c r="E44" s="18">
        <f>D44/B44</f>
        <v>-0.370741273953442</v>
      </c>
      <c r="F44" s="36" t="s">
        <v>125</v>
      </c>
      <c r="G44" s="52">
        <f>SUM(G37:G38)</f>
        <v>156497.5</v>
      </c>
      <c r="H44" s="52">
        <f>SUM(H37:H38)</f>
        <v>161354.5</v>
      </c>
      <c r="I44" s="85">
        <f>SUM(I37:I38)</f>
        <v>4857</v>
      </c>
      <c r="J44" s="18">
        <f t="shared" si="10"/>
        <v>0.0310356395469576</v>
      </c>
      <c r="K44" s="21" t="s">
        <v>123</v>
      </c>
      <c r="L44" s="45">
        <f>L42-L43</f>
        <v>12125</v>
      </c>
      <c r="M44" s="45">
        <f>M42-M43</f>
        <v>9846</v>
      </c>
      <c r="N44" s="52">
        <f t="shared" si="11"/>
        <v>-2279</v>
      </c>
      <c r="O44" s="18">
        <f>N44/L44</f>
        <v>-0.187958762886598</v>
      </c>
    </row>
    <row r="45" ht="21" customHeight="1" spans="1:1">
      <c r="A45" t="s">
        <v>316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8:O18"/>
    <mergeCell ref="F35:J35"/>
    <mergeCell ref="K37:O37"/>
    <mergeCell ref="K41:O41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C43" sqref="C43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317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12</v>
      </c>
      <c r="B5" s="52">
        <f>SUM(B6,B22)</f>
        <v>106600</v>
      </c>
      <c r="C5" s="52">
        <f>SUM(C6,C22)</f>
        <v>106900</v>
      </c>
      <c r="D5" s="52">
        <f>SUM(D6,D22)</f>
        <v>107501</v>
      </c>
      <c r="E5" s="18">
        <f t="shared" ref="E5:E32" si="0">D5/C5</f>
        <v>1.0056220767072</v>
      </c>
      <c r="F5" s="21" t="s">
        <v>13</v>
      </c>
      <c r="G5" s="19">
        <f>SUM(G6:G24)</f>
        <v>177526</v>
      </c>
      <c r="H5" s="19">
        <f>SUM(H6:H24)</f>
        <v>323216</v>
      </c>
      <c r="I5" s="19">
        <f>SUM(I6:I24)</f>
        <v>315262</v>
      </c>
      <c r="J5" s="18">
        <f t="shared" ref="J5:J24" si="1">I5/H5</f>
        <v>0.975391069749022</v>
      </c>
      <c r="K5" s="16" t="s">
        <v>133</v>
      </c>
      <c r="L5" s="19">
        <f>SUM(L6:L12)</f>
        <v>70500</v>
      </c>
      <c r="M5" s="19">
        <f>SUM(M6:M12)</f>
        <v>51500</v>
      </c>
      <c r="N5" s="19">
        <f>SUM(N6:N12)</f>
        <v>57039</v>
      </c>
      <c r="O5" s="18">
        <f t="shared" ref="O5:O12" si="2">N5/M5</f>
        <v>1.10755339805825</v>
      </c>
    </row>
    <row r="6" ht="16.5" customHeight="1" spans="1:15">
      <c r="A6" s="21" t="s">
        <v>15</v>
      </c>
      <c r="B6" s="52">
        <f>SUM(B7,B10:B21)</f>
        <v>68300</v>
      </c>
      <c r="C6" s="52">
        <f>SUM(C7,C10:C21)</f>
        <v>69800</v>
      </c>
      <c r="D6" s="52">
        <f>SUM(D7,D10:D21)</f>
        <v>68108</v>
      </c>
      <c r="E6" s="18">
        <f t="shared" si="0"/>
        <v>0.975759312320917</v>
      </c>
      <c r="F6" s="1" t="s">
        <v>228</v>
      </c>
      <c r="G6" s="22">
        <v>13351</v>
      </c>
      <c r="H6" s="22">
        <v>21541</v>
      </c>
      <c r="I6" s="22">
        <v>21049</v>
      </c>
      <c r="J6" s="60">
        <f t="shared" si="1"/>
        <v>0.977159834733764</v>
      </c>
      <c r="K6" s="42" t="s">
        <v>272</v>
      </c>
      <c r="L6" s="22">
        <v>500</v>
      </c>
      <c r="M6" s="22">
        <v>743</v>
      </c>
      <c r="N6" s="51">
        <v>845</v>
      </c>
      <c r="O6" s="5">
        <f t="shared" si="2"/>
        <v>1.13728129205922</v>
      </c>
    </row>
    <row r="7" ht="16.5" customHeight="1" spans="1:15">
      <c r="A7" s="1" t="s">
        <v>18</v>
      </c>
      <c r="B7" s="51">
        <f>SUM(B8:B9)</f>
        <v>12872</v>
      </c>
      <c r="C7" s="51">
        <f>SUM(C8:C9)</f>
        <v>23768</v>
      </c>
      <c r="D7" s="51">
        <f>SUM(D8:D9)</f>
        <v>22805</v>
      </c>
      <c r="E7" s="5">
        <f t="shared" si="0"/>
        <v>0.959483338943117</v>
      </c>
      <c r="F7" s="1" t="s">
        <v>229</v>
      </c>
      <c r="G7" s="22">
        <v>122</v>
      </c>
      <c r="H7" s="22">
        <v>367</v>
      </c>
      <c r="I7" s="22">
        <v>367</v>
      </c>
      <c r="J7" s="60">
        <f t="shared" si="1"/>
        <v>1</v>
      </c>
      <c r="K7" s="42" t="s">
        <v>218</v>
      </c>
      <c r="L7" s="22">
        <v>67690</v>
      </c>
      <c r="M7" s="22">
        <v>48000</v>
      </c>
      <c r="N7" s="51">
        <v>53473</v>
      </c>
      <c r="O7" s="5">
        <f t="shared" si="2"/>
        <v>1.11402083333333</v>
      </c>
    </row>
    <row r="8" ht="16.5" customHeight="1" spans="1:15">
      <c r="A8" s="1" t="s">
        <v>297</v>
      </c>
      <c r="B8" s="51">
        <v>10640</v>
      </c>
      <c r="C8" s="51">
        <v>17683</v>
      </c>
      <c r="D8" s="51">
        <v>16787</v>
      </c>
      <c r="E8" s="5">
        <f t="shared" si="0"/>
        <v>0.949329864841939</v>
      </c>
      <c r="F8" s="1" t="s">
        <v>231</v>
      </c>
      <c r="G8" s="51">
        <v>9119</v>
      </c>
      <c r="H8" s="22">
        <v>12482</v>
      </c>
      <c r="I8" s="22">
        <v>12119</v>
      </c>
      <c r="J8" s="60">
        <f t="shared" si="1"/>
        <v>0.970918122095818</v>
      </c>
      <c r="K8" s="42" t="s">
        <v>219</v>
      </c>
      <c r="L8" s="22">
        <v>1000</v>
      </c>
      <c r="M8" s="22">
        <v>1700</v>
      </c>
      <c r="N8" s="51">
        <v>1678</v>
      </c>
      <c r="O8" s="5">
        <f t="shared" si="2"/>
        <v>0.987058823529412</v>
      </c>
    </row>
    <row r="9" ht="16.5" customHeight="1" spans="1:15">
      <c r="A9" s="1" t="s">
        <v>299</v>
      </c>
      <c r="B9" s="51">
        <v>2232</v>
      </c>
      <c r="C9" s="51">
        <v>6085</v>
      </c>
      <c r="D9" s="51">
        <v>6018</v>
      </c>
      <c r="E9" s="5">
        <f t="shared" si="0"/>
        <v>0.98898931799507</v>
      </c>
      <c r="F9" s="1" t="s">
        <v>233</v>
      </c>
      <c r="G9" s="51">
        <v>65957</v>
      </c>
      <c r="H9" s="22">
        <v>72411</v>
      </c>
      <c r="I9" s="22">
        <v>71959</v>
      </c>
      <c r="J9" s="60">
        <f t="shared" si="1"/>
        <v>0.993757854469625</v>
      </c>
      <c r="K9" s="42" t="s">
        <v>26</v>
      </c>
      <c r="L9" s="22">
        <v>460</v>
      </c>
      <c r="M9" s="22">
        <v>486</v>
      </c>
      <c r="N9" s="51">
        <v>486</v>
      </c>
      <c r="O9" s="5">
        <f t="shared" si="2"/>
        <v>1</v>
      </c>
    </row>
    <row r="10" ht="16.5" customHeight="1" spans="1:15">
      <c r="A10" s="1" t="s">
        <v>301</v>
      </c>
      <c r="B10" s="99">
        <v>21672</v>
      </c>
      <c r="C10" s="51">
        <v>8434</v>
      </c>
      <c r="D10" s="51">
        <v>8371</v>
      </c>
      <c r="E10" s="5">
        <f t="shared" si="0"/>
        <v>0.99253023476405</v>
      </c>
      <c r="F10" s="1" t="s">
        <v>235</v>
      </c>
      <c r="G10" s="51">
        <v>2351</v>
      </c>
      <c r="H10" s="51">
        <v>2712</v>
      </c>
      <c r="I10" s="22">
        <v>2712</v>
      </c>
      <c r="J10" s="60">
        <f t="shared" si="1"/>
        <v>1</v>
      </c>
      <c r="K10" s="42" t="s">
        <v>220</v>
      </c>
      <c r="L10" s="22">
        <v>150</v>
      </c>
      <c r="M10" s="22">
        <v>250</v>
      </c>
      <c r="N10" s="51">
        <v>241</v>
      </c>
      <c r="O10" s="5">
        <f t="shared" si="2"/>
        <v>0.964</v>
      </c>
    </row>
    <row r="11" ht="16.5" customHeight="1" spans="1:15">
      <c r="A11" s="1" t="s">
        <v>30</v>
      </c>
      <c r="B11" s="99">
        <v>10514</v>
      </c>
      <c r="C11" s="51">
        <v>11685</v>
      </c>
      <c r="D11" s="51">
        <v>12149</v>
      </c>
      <c r="E11" s="5">
        <f t="shared" si="0"/>
        <v>1.03970902866923</v>
      </c>
      <c r="F11" s="1" t="s">
        <v>237</v>
      </c>
      <c r="G11" s="51">
        <v>1620</v>
      </c>
      <c r="H11" s="51">
        <v>3122</v>
      </c>
      <c r="I11" s="22">
        <v>3088</v>
      </c>
      <c r="J11" s="60">
        <f t="shared" si="1"/>
        <v>0.989109545163357</v>
      </c>
      <c r="K11" s="42" t="s">
        <v>221</v>
      </c>
      <c r="L11" s="22">
        <v>250</v>
      </c>
      <c r="M11" s="22">
        <v>250</v>
      </c>
      <c r="N11" s="51">
        <v>246</v>
      </c>
      <c r="O11" s="5">
        <f t="shared" si="2"/>
        <v>0.984</v>
      </c>
    </row>
    <row r="12" ht="16.5" customHeight="1" spans="1:15">
      <c r="A12" s="1" t="s">
        <v>33</v>
      </c>
      <c r="B12" s="99">
        <v>3980</v>
      </c>
      <c r="C12" s="51">
        <v>4197</v>
      </c>
      <c r="D12" s="51">
        <v>4597</v>
      </c>
      <c r="E12" s="5">
        <f t="shared" si="0"/>
        <v>1.09530617107458</v>
      </c>
      <c r="F12" s="1" t="s">
        <v>239</v>
      </c>
      <c r="G12" s="51">
        <v>17165</v>
      </c>
      <c r="H12" s="51">
        <v>29668</v>
      </c>
      <c r="I12" s="22">
        <v>28457</v>
      </c>
      <c r="J12" s="60">
        <f t="shared" si="1"/>
        <v>0.959181609815289</v>
      </c>
      <c r="K12" s="42" t="s">
        <v>318</v>
      </c>
      <c r="L12" s="22">
        <v>450</v>
      </c>
      <c r="M12" s="22">
        <v>71</v>
      </c>
      <c r="N12" s="51">
        <v>70</v>
      </c>
      <c r="O12" s="5">
        <f t="shared" si="2"/>
        <v>0.985915492957746</v>
      </c>
    </row>
    <row r="13" ht="16.5" customHeight="1" spans="1:15">
      <c r="A13" s="1" t="s">
        <v>36</v>
      </c>
      <c r="B13" s="68">
        <v>2400</v>
      </c>
      <c r="C13" s="68">
        <v>2400</v>
      </c>
      <c r="D13" s="51">
        <v>2035</v>
      </c>
      <c r="E13" s="5">
        <f t="shared" si="0"/>
        <v>0.847916666666667</v>
      </c>
      <c r="F13" s="1" t="s">
        <v>273</v>
      </c>
      <c r="G13" s="51">
        <v>34186</v>
      </c>
      <c r="H13" s="51">
        <v>43408</v>
      </c>
      <c r="I13" s="22">
        <v>43142</v>
      </c>
      <c r="J13" s="61">
        <f t="shared" si="1"/>
        <v>0.993872097309252</v>
      </c>
      <c r="K13" s="21" t="s">
        <v>32</v>
      </c>
      <c r="L13" s="22"/>
      <c r="M13" s="22"/>
      <c r="N13" s="19">
        <v>5804</v>
      </c>
      <c r="O13" s="4"/>
    </row>
    <row r="14" ht="16.5" customHeight="1" spans="1:15">
      <c r="A14" s="1" t="s">
        <v>39</v>
      </c>
      <c r="B14" s="68">
        <v>3300</v>
      </c>
      <c r="C14" s="68">
        <v>3300</v>
      </c>
      <c r="D14" s="51">
        <v>2824</v>
      </c>
      <c r="E14" s="5">
        <f t="shared" si="0"/>
        <v>0.855757575757576</v>
      </c>
      <c r="F14" s="1" t="s">
        <v>241</v>
      </c>
      <c r="G14" s="51">
        <v>535</v>
      </c>
      <c r="H14" s="51">
        <v>10557</v>
      </c>
      <c r="I14" s="22">
        <v>10435</v>
      </c>
      <c r="J14" s="60">
        <f t="shared" si="1"/>
        <v>0.988443686653405</v>
      </c>
      <c r="K14" s="21" t="s">
        <v>35</v>
      </c>
      <c r="L14" s="19"/>
      <c r="M14" s="19"/>
      <c r="N14" s="19">
        <v>10388</v>
      </c>
      <c r="O14" s="45"/>
    </row>
    <row r="15" ht="16.5" customHeight="1" spans="1:15">
      <c r="A15" s="1" t="s">
        <v>42</v>
      </c>
      <c r="B15" s="68">
        <v>1650</v>
      </c>
      <c r="C15" s="68">
        <v>1650</v>
      </c>
      <c r="D15" s="51">
        <v>1523</v>
      </c>
      <c r="E15" s="5">
        <f t="shared" si="0"/>
        <v>0.923030303030303</v>
      </c>
      <c r="F15" s="1" t="s">
        <v>274</v>
      </c>
      <c r="G15" s="51">
        <v>1277</v>
      </c>
      <c r="H15" s="51">
        <v>30850</v>
      </c>
      <c r="I15" s="22">
        <v>30484</v>
      </c>
      <c r="J15" s="60">
        <f t="shared" si="1"/>
        <v>0.988136142625608</v>
      </c>
      <c r="K15" s="46" t="s">
        <v>41</v>
      </c>
      <c r="L15" s="19">
        <f>SUM(L14,L13,L5)</f>
        <v>70500</v>
      </c>
      <c r="M15" s="19">
        <f>SUM(M14,M13,M5)</f>
        <v>51500</v>
      </c>
      <c r="N15" s="19">
        <f>SUM(N14,N13,N5)</f>
        <v>73231</v>
      </c>
      <c r="O15" s="4"/>
    </row>
    <row r="16" ht="16.5" customHeight="1" spans="1:15">
      <c r="A16" s="1" t="s">
        <v>45</v>
      </c>
      <c r="B16" s="68">
        <v>862</v>
      </c>
      <c r="C16" s="68">
        <v>862</v>
      </c>
      <c r="D16" s="51">
        <v>803</v>
      </c>
      <c r="E16" s="5">
        <f t="shared" si="0"/>
        <v>0.931554524361949</v>
      </c>
      <c r="F16" s="1" t="s">
        <v>275</v>
      </c>
      <c r="G16" s="51">
        <v>14346</v>
      </c>
      <c r="H16" s="51">
        <v>47488</v>
      </c>
      <c r="I16" s="22">
        <v>46158</v>
      </c>
      <c r="J16" s="60">
        <f t="shared" si="1"/>
        <v>0.971992924528302</v>
      </c>
      <c r="K16" s="90" t="s">
        <v>44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2300</v>
      </c>
      <c r="C17" s="68">
        <v>2300</v>
      </c>
      <c r="D17" s="51">
        <v>2074</v>
      </c>
      <c r="E17" s="5">
        <f t="shared" si="0"/>
        <v>0.901739130434783</v>
      </c>
      <c r="F17" s="1" t="s">
        <v>244</v>
      </c>
      <c r="G17" s="51">
        <v>1372</v>
      </c>
      <c r="H17" s="22">
        <v>6139</v>
      </c>
      <c r="I17" s="22">
        <v>5533</v>
      </c>
      <c r="J17" s="60">
        <f t="shared" si="1"/>
        <v>0.901286854536569</v>
      </c>
      <c r="K17" s="15" t="s">
        <v>6</v>
      </c>
      <c r="L17" s="15" t="s">
        <v>129</v>
      </c>
      <c r="M17" s="15" t="s">
        <v>130</v>
      </c>
      <c r="N17" s="15" t="s">
        <v>131</v>
      </c>
      <c r="O17" s="15" t="s">
        <v>132</v>
      </c>
    </row>
    <row r="18" ht="16.5" customHeight="1" spans="1:15">
      <c r="A18" s="1" t="s">
        <v>50</v>
      </c>
      <c r="B18" s="68">
        <v>4600</v>
      </c>
      <c r="C18" s="68">
        <v>5900</v>
      </c>
      <c r="D18" s="51">
        <v>5705</v>
      </c>
      <c r="E18" s="5">
        <f t="shared" si="0"/>
        <v>0.966949152542373</v>
      </c>
      <c r="F18" s="1" t="s">
        <v>276</v>
      </c>
      <c r="G18" s="51">
        <v>1366</v>
      </c>
      <c r="H18" s="22">
        <v>5522</v>
      </c>
      <c r="I18" s="22">
        <v>5477</v>
      </c>
      <c r="J18" s="60">
        <f t="shared" si="1"/>
        <v>0.991850778703368</v>
      </c>
      <c r="K18" s="16" t="s">
        <v>144</v>
      </c>
      <c r="L18" s="52">
        <f>SUM(L19:L30)</f>
        <v>70500</v>
      </c>
      <c r="M18" s="52">
        <f>SUM(M19:M30)</f>
        <v>64010</v>
      </c>
      <c r="N18" s="52">
        <f>SUM(N19:N30)</f>
        <v>53674</v>
      </c>
      <c r="O18" s="18">
        <f t="shared" ref="O18:O30" si="3">N18/M18</f>
        <v>0.838525230432745</v>
      </c>
    </row>
    <row r="19" ht="16.5" customHeight="1" spans="1:15">
      <c r="A19" s="1" t="s">
        <v>53</v>
      </c>
      <c r="B19" s="68">
        <v>1350</v>
      </c>
      <c r="C19" s="68">
        <v>1404</v>
      </c>
      <c r="D19" s="51">
        <v>1200</v>
      </c>
      <c r="E19" s="5">
        <f t="shared" si="0"/>
        <v>0.854700854700855</v>
      </c>
      <c r="F19" s="1" t="s">
        <v>277</v>
      </c>
      <c r="G19" s="51">
        <v>352</v>
      </c>
      <c r="H19" s="22">
        <v>3069</v>
      </c>
      <c r="I19" s="22">
        <v>2906</v>
      </c>
      <c r="J19" s="60">
        <f t="shared" si="1"/>
        <v>0.946888237210818</v>
      </c>
      <c r="K19" s="42" t="s">
        <v>52</v>
      </c>
      <c r="L19" s="22"/>
      <c r="M19" s="22">
        <v>688</v>
      </c>
      <c r="N19" s="51">
        <v>678</v>
      </c>
      <c r="O19" s="5">
        <f t="shared" si="3"/>
        <v>0.98546511627907</v>
      </c>
    </row>
    <row r="20" ht="16.5" customHeight="1" spans="1:15">
      <c r="A20" s="1" t="s">
        <v>247</v>
      </c>
      <c r="B20" s="51">
        <v>1550</v>
      </c>
      <c r="C20" s="51">
        <v>700</v>
      </c>
      <c r="D20" s="51">
        <v>612</v>
      </c>
      <c r="E20" s="5">
        <f t="shared" si="0"/>
        <v>0.874285714285714</v>
      </c>
      <c r="F20" s="1" t="s">
        <v>278</v>
      </c>
      <c r="G20" s="51">
        <v>1049</v>
      </c>
      <c r="H20" s="22">
        <v>2963</v>
      </c>
      <c r="I20" s="22">
        <v>2796</v>
      </c>
      <c r="J20" s="60">
        <f t="shared" si="1"/>
        <v>0.943638204522444</v>
      </c>
      <c r="K20" s="81" t="s">
        <v>55</v>
      </c>
      <c r="L20" s="22">
        <v>67690</v>
      </c>
      <c r="M20" s="22">
        <v>48462</v>
      </c>
      <c r="N20" s="51">
        <v>38999</v>
      </c>
      <c r="O20" s="5">
        <f t="shared" si="3"/>
        <v>0.804733605711692</v>
      </c>
    </row>
    <row r="21" ht="16.5" customHeight="1" spans="1:15">
      <c r="A21" s="1" t="s">
        <v>250</v>
      </c>
      <c r="B21" s="51">
        <v>1250</v>
      </c>
      <c r="C21" s="51">
        <v>3200</v>
      </c>
      <c r="D21" s="51">
        <v>3410</v>
      </c>
      <c r="E21" s="5">
        <f t="shared" si="0"/>
        <v>1.065625</v>
      </c>
      <c r="F21" s="1" t="s">
        <v>279</v>
      </c>
      <c r="G21" s="51">
        <v>2013</v>
      </c>
      <c r="H21" s="22">
        <v>18764</v>
      </c>
      <c r="I21" s="22">
        <v>17375</v>
      </c>
      <c r="J21" s="60">
        <f t="shared" si="1"/>
        <v>0.925975271797058</v>
      </c>
      <c r="K21" s="42" t="s">
        <v>280</v>
      </c>
      <c r="L21" s="22">
        <v>500</v>
      </c>
      <c r="M21" s="22">
        <v>845</v>
      </c>
      <c r="N21" s="51">
        <v>602</v>
      </c>
      <c r="O21" s="5">
        <f t="shared" si="3"/>
        <v>0.712426035502959</v>
      </c>
    </row>
    <row r="22" ht="16.5" customHeight="1" spans="1:15">
      <c r="A22" s="21" t="s">
        <v>68</v>
      </c>
      <c r="B22" s="52">
        <f>SUM(B23,B27:B32)</f>
        <v>38300</v>
      </c>
      <c r="C22" s="52">
        <f>SUM(C23,C27:C32)</f>
        <v>37100</v>
      </c>
      <c r="D22" s="52">
        <f>SUM(D23,D27:D32)</f>
        <v>39393</v>
      </c>
      <c r="E22" s="18">
        <f t="shared" si="0"/>
        <v>1.06180592991914</v>
      </c>
      <c r="F22" s="1" t="s">
        <v>281</v>
      </c>
      <c r="G22" s="51">
        <v>1445</v>
      </c>
      <c r="H22" s="22">
        <v>1774</v>
      </c>
      <c r="I22" s="22">
        <v>1774</v>
      </c>
      <c r="J22" s="60">
        <f t="shared" si="1"/>
        <v>1</v>
      </c>
      <c r="K22" s="81" t="s">
        <v>319</v>
      </c>
      <c r="L22" s="22"/>
      <c r="M22" s="22">
        <f>7792-2000</f>
        <v>5792</v>
      </c>
      <c r="N22" s="51">
        <v>5786</v>
      </c>
      <c r="O22" s="5">
        <f t="shared" si="3"/>
        <v>0.99896408839779</v>
      </c>
    </row>
    <row r="23" ht="16.5" customHeight="1" spans="1:15">
      <c r="A23" s="21" t="s">
        <v>71</v>
      </c>
      <c r="B23" s="52">
        <v>5080</v>
      </c>
      <c r="C23" s="52">
        <v>3360</v>
      </c>
      <c r="D23" s="52">
        <v>3630</v>
      </c>
      <c r="E23" s="18">
        <f t="shared" si="0"/>
        <v>1.08035714285714</v>
      </c>
      <c r="F23" s="1" t="s">
        <v>255</v>
      </c>
      <c r="G23" s="51"/>
      <c r="H23" s="22">
        <v>9043</v>
      </c>
      <c r="I23" s="22">
        <v>9043</v>
      </c>
      <c r="J23" s="60">
        <f t="shared" si="1"/>
        <v>1</v>
      </c>
      <c r="K23" s="42" t="s">
        <v>283</v>
      </c>
      <c r="L23" s="22">
        <v>1000</v>
      </c>
      <c r="M23" s="22">
        <v>1871</v>
      </c>
      <c r="N23" s="51">
        <v>1515</v>
      </c>
      <c r="O23" s="5">
        <f t="shared" si="3"/>
        <v>0.809727418492785</v>
      </c>
    </row>
    <row r="24" ht="16.5" customHeight="1" spans="1:15">
      <c r="A24" s="1" t="s">
        <v>320</v>
      </c>
      <c r="B24" s="51">
        <v>200</v>
      </c>
      <c r="C24" s="51">
        <v>150</v>
      </c>
      <c r="D24" s="51">
        <v>146</v>
      </c>
      <c r="E24" s="5">
        <f t="shared" si="0"/>
        <v>0.973333333333333</v>
      </c>
      <c r="F24" s="1" t="s">
        <v>257</v>
      </c>
      <c r="G24" s="51">
        <v>9900</v>
      </c>
      <c r="H24" s="22">
        <v>1336</v>
      </c>
      <c r="I24" s="22">
        <v>388</v>
      </c>
      <c r="J24" s="80">
        <f t="shared" si="1"/>
        <v>0.290419161676647</v>
      </c>
      <c r="K24" s="42" t="s">
        <v>284</v>
      </c>
      <c r="L24" s="22">
        <v>460</v>
      </c>
      <c r="M24" s="22">
        <v>573</v>
      </c>
      <c r="N24" s="51">
        <v>520</v>
      </c>
      <c r="O24" s="5">
        <f t="shared" si="3"/>
        <v>0.907504363001745</v>
      </c>
    </row>
    <row r="25" ht="16.5" customHeight="1" spans="1:15">
      <c r="A25" s="1" t="s">
        <v>310</v>
      </c>
      <c r="B25" s="51">
        <v>210</v>
      </c>
      <c r="C25" s="51">
        <v>210</v>
      </c>
      <c r="D25" s="51">
        <v>227</v>
      </c>
      <c r="E25" s="5">
        <f t="shared" si="0"/>
        <v>1.08095238095238</v>
      </c>
      <c r="F25" s="26" t="s">
        <v>78</v>
      </c>
      <c r="G25" s="69">
        <f>SUM(G26:G27)</f>
        <v>1700</v>
      </c>
      <c r="H25" s="69">
        <f>SUM(H26:H27)</f>
        <v>1700</v>
      </c>
      <c r="I25" s="69">
        <f>SUM(I26:I27)</f>
        <v>1761</v>
      </c>
      <c r="J25" s="5"/>
      <c r="K25" s="42" t="s">
        <v>285</v>
      </c>
      <c r="L25" s="22"/>
      <c r="M25" s="22">
        <v>281</v>
      </c>
      <c r="N25" s="51">
        <v>281</v>
      </c>
      <c r="O25" s="5">
        <f t="shared" si="3"/>
        <v>1</v>
      </c>
    </row>
    <row r="26" ht="16.5" customHeight="1" spans="1:15">
      <c r="A26" s="1" t="s">
        <v>312</v>
      </c>
      <c r="B26" s="51">
        <v>2000</v>
      </c>
      <c r="C26" s="51">
        <v>1900</v>
      </c>
      <c r="D26" s="51">
        <v>1848</v>
      </c>
      <c r="E26" s="5">
        <f t="shared" si="0"/>
        <v>0.972631578947368</v>
      </c>
      <c r="F26" s="1" t="s">
        <v>81</v>
      </c>
      <c r="G26" s="51">
        <v>417</v>
      </c>
      <c r="H26" s="22">
        <v>417</v>
      </c>
      <c r="I26" s="22"/>
      <c r="J26" s="5"/>
      <c r="K26" s="81" t="s">
        <v>286</v>
      </c>
      <c r="L26" s="22"/>
      <c r="M26" s="22">
        <v>2495</v>
      </c>
      <c r="N26" s="51">
        <v>2495</v>
      </c>
      <c r="O26" s="5">
        <f t="shared" si="3"/>
        <v>1</v>
      </c>
    </row>
    <row r="27" ht="16.5" customHeight="1" spans="1:15">
      <c r="A27" s="1" t="s">
        <v>77</v>
      </c>
      <c r="B27" s="4">
        <v>4920</v>
      </c>
      <c r="C27" s="51">
        <v>8000</v>
      </c>
      <c r="D27" s="51">
        <v>10179</v>
      </c>
      <c r="E27" s="5">
        <f t="shared" si="0"/>
        <v>1.272375</v>
      </c>
      <c r="F27" s="1" t="s">
        <v>84</v>
      </c>
      <c r="G27" s="71">
        <v>1283</v>
      </c>
      <c r="H27" s="22">
        <v>1283</v>
      </c>
      <c r="I27" s="22">
        <v>1761</v>
      </c>
      <c r="J27" s="5"/>
      <c r="K27" s="42" t="s">
        <v>287</v>
      </c>
      <c r="L27" s="22"/>
      <c r="M27" s="22">
        <v>14</v>
      </c>
      <c r="N27" s="51"/>
      <c r="O27" s="5">
        <f t="shared" si="3"/>
        <v>0</v>
      </c>
    </row>
    <row r="28" ht="16.5" customHeight="1" spans="1:15">
      <c r="A28" s="1" t="s">
        <v>80</v>
      </c>
      <c r="B28" s="4">
        <v>4000</v>
      </c>
      <c r="C28" s="51">
        <v>3500</v>
      </c>
      <c r="D28" s="51">
        <v>4364</v>
      </c>
      <c r="E28" s="5">
        <f t="shared" si="0"/>
        <v>1.24685714285714</v>
      </c>
      <c r="F28" s="26" t="s">
        <v>87</v>
      </c>
      <c r="G28" s="72"/>
      <c r="H28" s="22"/>
      <c r="I28" s="19">
        <v>12080</v>
      </c>
      <c r="J28" s="5"/>
      <c r="K28" s="42" t="s">
        <v>288</v>
      </c>
      <c r="L28" s="22">
        <v>400</v>
      </c>
      <c r="M28" s="22">
        <v>1865</v>
      </c>
      <c r="N28" s="51">
        <v>1755</v>
      </c>
      <c r="O28" s="5">
        <f t="shared" si="3"/>
        <v>0.941018766756032</v>
      </c>
    </row>
    <row r="29" ht="16.5" customHeight="1" spans="1:15">
      <c r="A29" s="1" t="s">
        <v>155</v>
      </c>
      <c r="B29" s="4">
        <v>9100</v>
      </c>
      <c r="C29" s="51">
        <v>6100</v>
      </c>
      <c r="D29" s="51">
        <v>4900</v>
      </c>
      <c r="E29" s="5">
        <f t="shared" si="0"/>
        <v>0.80327868852459</v>
      </c>
      <c r="F29" s="26" t="s">
        <v>90</v>
      </c>
      <c r="G29" s="72"/>
      <c r="H29" s="22"/>
      <c r="I29" s="19">
        <v>6503</v>
      </c>
      <c r="J29" s="5"/>
      <c r="K29" s="42" t="s">
        <v>321</v>
      </c>
      <c r="L29" s="22">
        <v>450</v>
      </c>
      <c r="M29" s="22">
        <v>573</v>
      </c>
      <c r="N29" s="51">
        <v>492</v>
      </c>
      <c r="O29" s="5">
        <f t="shared" si="3"/>
        <v>0.858638743455497</v>
      </c>
    </row>
    <row r="30" ht="16.5" customHeight="1" spans="1:15">
      <c r="A30" s="1" t="s">
        <v>86</v>
      </c>
      <c r="B30" s="4">
        <v>650</v>
      </c>
      <c r="C30" s="51">
        <v>1500</v>
      </c>
      <c r="D30" s="51">
        <v>1559</v>
      </c>
      <c r="E30" s="5">
        <f t="shared" si="0"/>
        <v>1.03933333333333</v>
      </c>
      <c r="F30" s="21" t="s">
        <v>264</v>
      </c>
      <c r="G30" s="52"/>
      <c r="H30" s="22"/>
      <c r="I30" s="19">
        <v>7954</v>
      </c>
      <c r="J30" s="5"/>
      <c r="K30" s="42" t="s">
        <v>322</v>
      </c>
      <c r="L30" s="22"/>
      <c r="M30" s="22">
        <v>551</v>
      </c>
      <c r="N30" s="51">
        <v>551</v>
      </c>
      <c r="O30" s="5">
        <f t="shared" si="3"/>
        <v>1</v>
      </c>
    </row>
    <row r="31" ht="16.5" customHeight="1" spans="1:15">
      <c r="A31" s="1" t="s">
        <v>89</v>
      </c>
      <c r="B31" s="4"/>
      <c r="C31" s="51">
        <v>40</v>
      </c>
      <c r="D31" s="51">
        <v>44</v>
      </c>
      <c r="E31" s="5">
        <f t="shared" si="0"/>
        <v>1.1</v>
      </c>
      <c r="F31" s="1" t="s">
        <v>100</v>
      </c>
      <c r="G31" s="51"/>
      <c r="H31" s="22"/>
      <c r="I31" s="22">
        <v>7954</v>
      </c>
      <c r="J31" s="5"/>
      <c r="K31" s="16" t="s">
        <v>82</v>
      </c>
      <c r="L31" s="22"/>
      <c r="M31" s="22"/>
      <c r="N31" s="41">
        <v>9093</v>
      </c>
      <c r="O31" s="5"/>
    </row>
    <row r="32" ht="16.5" customHeight="1" spans="1:15">
      <c r="A32" s="1" t="s">
        <v>158</v>
      </c>
      <c r="B32" s="4">
        <v>14550</v>
      </c>
      <c r="C32" s="51">
        <v>14600</v>
      </c>
      <c r="D32" s="51">
        <v>14717</v>
      </c>
      <c r="E32" s="5">
        <f t="shared" si="0"/>
        <v>1.00801369863014</v>
      </c>
      <c r="F32" s="21" t="s">
        <v>103</v>
      </c>
      <c r="G32" s="52">
        <f>SUM(G5,G25,G28:G30)</f>
        <v>179226</v>
      </c>
      <c r="H32" s="52">
        <f>SUM(H5,H25,H28:H30)</f>
        <v>324916</v>
      </c>
      <c r="I32" s="52">
        <f>SUM(I5,I25,I28:I30)</f>
        <v>343560</v>
      </c>
      <c r="J32" s="4"/>
      <c r="K32" s="16" t="s">
        <v>157</v>
      </c>
      <c r="L32" s="22"/>
      <c r="M32" s="22"/>
      <c r="N32" s="41">
        <v>128</v>
      </c>
      <c r="O32" s="5"/>
    </row>
    <row r="33" ht="16.5" customHeight="1" spans="1:15">
      <c r="A33" s="28" t="s">
        <v>94</v>
      </c>
      <c r="B33" s="52">
        <f>SUM(B34:B36)</f>
        <v>72626</v>
      </c>
      <c r="C33" s="52">
        <f>SUM(C34:C36)</f>
        <v>74923</v>
      </c>
      <c r="D33" s="52">
        <f>SUM(D34:D36)</f>
        <v>162031</v>
      </c>
      <c r="E33" s="18"/>
      <c r="F33" s="21"/>
      <c r="G33" s="17"/>
      <c r="H33" s="17"/>
      <c r="I33" s="17"/>
      <c r="J33" s="4"/>
      <c r="K33" s="21" t="s">
        <v>88</v>
      </c>
      <c r="L33" s="22"/>
      <c r="M33" s="22"/>
      <c r="N33" s="52">
        <v>10336</v>
      </c>
      <c r="O33" s="4"/>
    </row>
    <row r="34" ht="16.5" customHeight="1" spans="1:15">
      <c r="A34" s="29" t="s">
        <v>96</v>
      </c>
      <c r="B34" s="51">
        <f>1671+5247</f>
        <v>6918</v>
      </c>
      <c r="C34" s="51">
        <f>1671+5247</f>
        <v>6918</v>
      </c>
      <c r="D34" s="51">
        <v>7735</v>
      </c>
      <c r="E34" s="5"/>
      <c r="F34" s="30" t="s">
        <v>106</v>
      </c>
      <c r="G34" s="31"/>
      <c r="H34" s="31"/>
      <c r="I34" s="31"/>
      <c r="J34" s="48"/>
      <c r="K34" s="21" t="s">
        <v>91</v>
      </c>
      <c r="L34" s="19">
        <f>SUM(L18,L33:L33)</f>
        <v>70500</v>
      </c>
      <c r="M34" s="22"/>
      <c r="N34" s="19">
        <f>SUM(N18,N31:N33)</f>
        <v>73231</v>
      </c>
      <c r="O34" s="4"/>
    </row>
    <row r="35" ht="16.5" customHeight="1" spans="1:15">
      <c r="A35" s="29" t="s">
        <v>99</v>
      </c>
      <c r="B35" s="51">
        <v>26082</v>
      </c>
      <c r="C35" s="51">
        <v>28379</v>
      </c>
      <c r="D35" s="51">
        <v>74564</v>
      </c>
      <c r="E35" s="5"/>
      <c r="F35" s="15" t="s">
        <v>6</v>
      </c>
      <c r="G35" s="4" t="s">
        <v>129</v>
      </c>
      <c r="H35" s="4" t="s">
        <v>130</v>
      </c>
      <c r="I35" s="4" t="s">
        <v>131</v>
      </c>
      <c r="J35" s="4" t="s">
        <v>132</v>
      </c>
      <c r="K35" s="93" t="s">
        <v>98</v>
      </c>
      <c r="L35" s="94"/>
      <c r="M35" s="94"/>
      <c r="N35" s="94"/>
      <c r="O35" s="95"/>
    </row>
    <row r="36" ht="16.5" customHeight="1" spans="1:15">
      <c r="A36" s="29" t="s">
        <v>160</v>
      </c>
      <c r="B36" s="51">
        <v>39626</v>
      </c>
      <c r="C36" s="51">
        <v>39626</v>
      </c>
      <c r="D36" s="51">
        <v>79732</v>
      </c>
      <c r="E36" s="5"/>
      <c r="F36" s="21" t="s">
        <v>12</v>
      </c>
      <c r="G36" s="85">
        <f>B5</f>
        <v>106600</v>
      </c>
      <c r="H36" s="85">
        <f>C5</f>
        <v>106900</v>
      </c>
      <c r="I36" s="85">
        <f>D5</f>
        <v>107501</v>
      </c>
      <c r="J36" s="18">
        <f t="shared" ref="J36:J43" si="4">I36/H36</f>
        <v>1.0056220767072</v>
      </c>
      <c r="K36" s="21" t="s">
        <v>104</v>
      </c>
      <c r="L36" s="45">
        <v>45</v>
      </c>
      <c r="M36" s="45">
        <v>49</v>
      </c>
      <c r="N36" s="45">
        <v>63</v>
      </c>
      <c r="O36" s="18">
        <f>N36/M36</f>
        <v>1.28571428571429</v>
      </c>
    </row>
    <row r="37" ht="16.5" customHeight="1" spans="1:15">
      <c r="A37" s="33" t="s">
        <v>105</v>
      </c>
      <c r="B37" s="72"/>
      <c r="C37" s="52">
        <v>8543</v>
      </c>
      <c r="D37" s="52">
        <v>15991</v>
      </c>
      <c r="E37" s="45"/>
      <c r="F37" s="34" t="s">
        <v>113</v>
      </c>
      <c r="G37" s="85">
        <f>SUM(G38:G42)</f>
        <v>53899.5</v>
      </c>
      <c r="H37" s="85">
        <f>SUM(H38:H42)</f>
        <v>53599.5</v>
      </c>
      <c r="I37" s="85">
        <f>SUM(I38:I42)</f>
        <v>53853.5</v>
      </c>
      <c r="J37" s="18">
        <f t="shared" si="4"/>
        <v>1.00473885017584</v>
      </c>
      <c r="K37" s="21" t="s">
        <v>109</v>
      </c>
      <c r="L37" s="45">
        <v>45</v>
      </c>
      <c r="M37" s="45">
        <v>49</v>
      </c>
      <c r="N37" s="45">
        <v>45</v>
      </c>
      <c r="O37" s="18">
        <f>N37/M37</f>
        <v>0.918367346938776</v>
      </c>
    </row>
    <row r="38" ht="16.5" customHeight="1" spans="1:15">
      <c r="A38" s="33" t="s">
        <v>108</v>
      </c>
      <c r="B38" s="86"/>
      <c r="C38" s="52">
        <v>34200</v>
      </c>
      <c r="D38" s="52">
        <v>45080</v>
      </c>
      <c r="E38" s="1"/>
      <c r="F38" s="35" t="s">
        <v>313</v>
      </c>
      <c r="G38" s="51">
        <f>B8*3</f>
        <v>31920</v>
      </c>
      <c r="H38" s="51">
        <v>27543</v>
      </c>
      <c r="I38" s="51">
        <v>26580</v>
      </c>
      <c r="J38" s="5">
        <f t="shared" si="4"/>
        <v>0.965036488399956</v>
      </c>
      <c r="K38" s="21" t="s">
        <v>269</v>
      </c>
      <c r="L38" s="45"/>
      <c r="M38" s="45"/>
      <c r="N38" s="45">
        <v>18</v>
      </c>
      <c r="O38" s="18"/>
    </row>
    <row r="39" ht="16.5" customHeight="1" spans="1:15">
      <c r="A39" s="87" t="s">
        <v>110</v>
      </c>
      <c r="B39" s="51"/>
      <c r="C39" s="52">
        <v>2565</v>
      </c>
      <c r="D39" s="52">
        <v>2565</v>
      </c>
      <c r="E39" s="5"/>
      <c r="F39" s="35" t="s">
        <v>117</v>
      </c>
      <c r="G39" s="51">
        <f>B11*1.5+0.5</f>
        <v>15771.5</v>
      </c>
      <c r="H39" s="51">
        <f>C11*1.5-0.5</f>
        <v>17527</v>
      </c>
      <c r="I39" s="51">
        <f>D11*1.5-0.5</f>
        <v>18223</v>
      </c>
      <c r="J39" s="5">
        <f t="shared" si="4"/>
        <v>1.03971016146517</v>
      </c>
      <c r="K39" s="93" t="s">
        <v>116</v>
      </c>
      <c r="L39" s="94"/>
      <c r="M39" s="94"/>
      <c r="N39" s="94"/>
      <c r="O39" s="95"/>
    </row>
    <row r="40" ht="16.5" customHeight="1" spans="1:15">
      <c r="A40" s="33" t="s">
        <v>112</v>
      </c>
      <c r="B40" s="51"/>
      <c r="C40" s="52">
        <v>9595</v>
      </c>
      <c r="D40" s="52">
        <v>10392</v>
      </c>
      <c r="E40" s="5"/>
      <c r="F40" s="35" t="s">
        <v>118</v>
      </c>
      <c r="G40" s="51">
        <f>B12*1.5</f>
        <v>5970</v>
      </c>
      <c r="H40" s="51">
        <f>C12*1.5</f>
        <v>6295.5</v>
      </c>
      <c r="I40" s="51">
        <f>D12*1.5</f>
        <v>6895.5</v>
      </c>
      <c r="J40" s="5">
        <f t="shared" si="4"/>
        <v>1.09530617107458</v>
      </c>
      <c r="K40" s="21" t="s">
        <v>119</v>
      </c>
      <c r="L40" s="45">
        <v>62026</v>
      </c>
      <c r="M40" s="66">
        <v>53832</v>
      </c>
      <c r="N40" s="21">
        <v>64249</v>
      </c>
      <c r="O40" s="18">
        <f>N40/M40</f>
        <v>1.19350943676624</v>
      </c>
    </row>
    <row r="41" ht="16.5" customHeight="1" spans="1:15">
      <c r="A41" s="33"/>
      <c r="B41" s="51"/>
      <c r="C41" s="51"/>
      <c r="D41" s="52"/>
      <c r="E41" s="5"/>
      <c r="F41" s="35" t="s">
        <v>120</v>
      </c>
      <c r="G41" s="51">
        <v>238</v>
      </c>
      <c r="H41" s="51">
        <v>154</v>
      </c>
      <c r="I41" s="51">
        <v>139</v>
      </c>
      <c r="J41" s="5">
        <f t="shared" si="4"/>
        <v>0.902597402597403</v>
      </c>
      <c r="K41" s="21" t="s">
        <v>121</v>
      </c>
      <c r="L41" s="96">
        <v>56866</v>
      </c>
      <c r="M41" s="66">
        <v>49311</v>
      </c>
      <c r="N41" s="21">
        <v>54403</v>
      </c>
      <c r="O41" s="18">
        <f>N41/M41</f>
        <v>1.10326296363894</v>
      </c>
    </row>
    <row r="42" ht="16.5" customHeight="1" spans="1:15">
      <c r="A42" s="33"/>
      <c r="B42" s="51"/>
      <c r="C42" s="51"/>
      <c r="D42" s="52"/>
      <c r="E42" s="5"/>
      <c r="F42" s="1" t="s">
        <v>323</v>
      </c>
      <c r="G42" s="1"/>
      <c r="H42" s="4">
        <v>2080</v>
      </c>
      <c r="I42" s="4">
        <v>2016</v>
      </c>
      <c r="J42" s="5">
        <f t="shared" si="4"/>
        <v>0.969230769230769</v>
      </c>
      <c r="K42" s="21" t="s">
        <v>123</v>
      </c>
      <c r="L42" s="21">
        <f>L40-L41</f>
        <v>5160</v>
      </c>
      <c r="M42" s="21">
        <f>M40-M41</f>
        <v>4521</v>
      </c>
      <c r="N42" s="21">
        <f>N40-N41</f>
        <v>9846</v>
      </c>
      <c r="O42" s="18"/>
    </row>
    <row r="43" ht="17.25" customHeight="1" spans="1:15">
      <c r="A43" s="28" t="s">
        <v>124</v>
      </c>
      <c r="B43" s="52">
        <f>SUM(B5,B33,B37:B38)</f>
        <v>179226</v>
      </c>
      <c r="C43" s="52"/>
      <c r="D43" s="52">
        <f>SUM(D5,D33,D37:D40)</f>
        <v>343560</v>
      </c>
      <c r="E43" s="5"/>
      <c r="F43" s="36" t="s">
        <v>125</v>
      </c>
      <c r="G43" s="85">
        <f>SUM(G36:G37)</f>
        <v>160499.5</v>
      </c>
      <c r="H43" s="85">
        <f>SUM(H36:H37)</f>
        <v>160499.5</v>
      </c>
      <c r="I43" s="85">
        <f>SUM(I36:I37)</f>
        <v>161354.5</v>
      </c>
      <c r="J43" s="18">
        <f t="shared" si="4"/>
        <v>1.00532711939913</v>
      </c>
      <c r="K43" s="21" t="s">
        <v>126</v>
      </c>
      <c r="L43" s="1"/>
      <c r="M43" s="1"/>
      <c r="N43" s="21">
        <v>47073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8">
    <mergeCell ref="A1:O1"/>
    <mergeCell ref="A3:E3"/>
    <mergeCell ref="F3:J3"/>
    <mergeCell ref="K3:O3"/>
    <mergeCell ref="K16:O16"/>
    <mergeCell ref="F34:J34"/>
    <mergeCell ref="K35:O35"/>
    <mergeCell ref="K39:O39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1" workbookViewId="0">
      <selection activeCell="H41" sqref="H41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324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327</v>
      </c>
      <c r="C4" s="15" t="s">
        <v>294</v>
      </c>
      <c r="D4" s="15" t="s">
        <v>9</v>
      </c>
      <c r="E4" s="15" t="s">
        <v>10</v>
      </c>
      <c r="F4" s="15" t="s">
        <v>6</v>
      </c>
      <c r="G4" s="15" t="s">
        <v>328</v>
      </c>
      <c r="H4" s="15" t="s">
        <v>294</v>
      </c>
      <c r="I4" s="15" t="s">
        <v>11</v>
      </c>
      <c r="J4" s="15" t="s">
        <v>10</v>
      </c>
      <c r="K4" s="15" t="s">
        <v>6</v>
      </c>
      <c r="L4" s="15" t="s">
        <v>328</v>
      </c>
      <c r="M4" s="15" t="s">
        <v>294</v>
      </c>
      <c r="N4" s="15" t="s">
        <v>9</v>
      </c>
      <c r="O4" s="15" t="s">
        <v>10</v>
      </c>
    </row>
    <row r="5" ht="17.25" customHeight="1" spans="1:15">
      <c r="A5" s="21" t="s">
        <v>329</v>
      </c>
      <c r="B5" s="52">
        <f>SUM(B6,B22)</f>
        <v>112226</v>
      </c>
      <c r="C5" s="52">
        <f>SUM(C6,C22)</f>
        <v>106835</v>
      </c>
      <c r="D5" s="52">
        <f>C5-B5</f>
        <v>-5391</v>
      </c>
      <c r="E5" s="18">
        <f t="shared" ref="E5:E38" si="0">D5/B5</f>
        <v>-0.048036996774366</v>
      </c>
      <c r="F5" s="21" t="s">
        <v>330</v>
      </c>
      <c r="G5" s="19">
        <f>SUM(G6:G24)</f>
        <v>237059</v>
      </c>
      <c r="H5" s="19">
        <f>SUM(H6:H24)</f>
        <v>259549</v>
      </c>
      <c r="I5" s="19">
        <f>SUM(I6:I24)</f>
        <v>22490</v>
      </c>
      <c r="J5" s="18">
        <f t="shared" ref="J5:J20" si="1">I5/G5</f>
        <v>0.0948708971184389</v>
      </c>
      <c r="K5" s="46" t="s">
        <v>14</v>
      </c>
      <c r="L5" s="52">
        <f>SUM(L6:L15)</f>
        <v>88465</v>
      </c>
      <c r="M5" s="52">
        <f>SUM(M6:M15)</f>
        <v>70432</v>
      </c>
      <c r="N5" s="88">
        <f>SUM(N6:N15)</f>
        <v>-18033</v>
      </c>
      <c r="O5" s="18">
        <f t="shared" ref="O5:O13" si="2">N5/L5</f>
        <v>-0.203843327869779</v>
      </c>
    </row>
    <row r="6" ht="17.25" customHeight="1" spans="1:15">
      <c r="A6" s="21" t="s">
        <v>15</v>
      </c>
      <c r="B6" s="52">
        <f>SUM(B7,B10:B21)</f>
        <v>69112</v>
      </c>
      <c r="C6" s="52">
        <f>SUM(C7,C10:C21)</f>
        <v>64775</v>
      </c>
      <c r="D6" s="52">
        <f>SUM(D7,D10:D21)</f>
        <v>-4337</v>
      </c>
      <c r="E6" s="18">
        <f t="shared" si="0"/>
        <v>-0.0627532121773353</v>
      </c>
      <c r="F6" s="1" t="s">
        <v>228</v>
      </c>
      <c r="G6" s="22">
        <v>24200</v>
      </c>
      <c r="H6" s="22">
        <v>20575</v>
      </c>
      <c r="I6" s="51">
        <f t="shared" ref="I6:I33" si="3">H6-G6</f>
        <v>-3625</v>
      </c>
      <c r="J6" s="5">
        <f t="shared" si="1"/>
        <v>-0.149793388429752</v>
      </c>
      <c r="K6" s="42" t="s">
        <v>331</v>
      </c>
      <c r="L6" s="51">
        <v>258</v>
      </c>
      <c r="M6" s="51"/>
      <c r="N6" s="51">
        <f t="shared" ref="N6:N19" si="4">M6-L6</f>
        <v>-258</v>
      </c>
      <c r="O6" s="5">
        <f t="shared" si="2"/>
        <v>-1</v>
      </c>
    </row>
    <row r="7" ht="17.25" customHeight="1" spans="1:15">
      <c r="A7" s="1" t="s">
        <v>18</v>
      </c>
      <c r="B7" s="51">
        <f>SUM(B8:B9)</f>
        <v>11944</v>
      </c>
      <c r="C7" s="51">
        <f>SUM(C8:C9)</f>
        <v>11866</v>
      </c>
      <c r="D7" s="51">
        <f>SUM(D8:D9)</f>
        <v>-78</v>
      </c>
      <c r="E7" s="5">
        <f t="shared" si="0"/>
        <v>-0.0065304755525787</v>
      </c>
      <c r="F7" s="1" t="s">
        <v>229</v>
      </c>
      <c r="G7" s="22">
        <v>348</v>
      </c>
      <c r="H7" s="22">
        <v>378</v>
      </c>
      <c r="I7" s="51">
        <f t="shared" si="3"/>
        <v>30</v>
      </c>
      <c r="J7" s="5">
        <f t="shared" si="1"/>
        <v>0.0862068965517241</v>
      </c>
      <c r="K7" s="42" t="s">
        <v>332</v>
      </c>
      <c r="L7" s="51">
        <v>206</v>
      </c>
      <c r="M7" s="51">
        <v>41</v>
      </c>
      <c r="N7" s="51">
        <f t="shared" si="4"/>
        <v>-165</v>
      </c>
      <c r="O7" s="5">
        <f t="shared" si="2"/>
        <v>-0.800970873786408</v>
      </c>
    </row>
    <row r="8" ht="17.25" customHeight="1" spans="1:15">
      <c r="A8" s="1" t="s">
        <v>297</v>
      </c>
      <c r="B8" s="51">
        <v>10365</v>
      </c>
      <c r="C8" s="51">
        <v>9671</v>
      </c>
      <c r="D8" s="51">
        <f t="shared" ref="D8:D21" si="5">C8-B8</f>
        <v>-694</v>
      </c>
      <c r="E8" s="5">
        <f t="shared" si="0"/>
        <v>-0.0669561022672455</v>
      </c>
      <c r="F8" s="1" t="s">
        <v>231</v>
      </c>
      <c r="G8" s="22">
        <v>12595</v>
      </c>
      <c r="H8" s="22">
        <v>11257</v>
      </c>
      <c r="I8" s="51">
        <f t="shared" si="3"/>
        <v>-1338</v>
      </c>
      <c r="J8" s="5">
        <f t="shared" si="1"/>
        <v>-0.106232631996824</v>
      </c>
      <c r="K8" s="42" t="s">
        <v>333</v>
      </c>
      <c r="L8" s="51">
        <v>83995</v>
      </c>
      <c r="M8" s="51">
        <v>67936</v>
      </c>
      <c r="N8" s="51">
        <f t="shared" si="4"/>
        <v>-16059</v>
      </c>
      <c r="O8" s="5">
        <f t="shared" si="2"/>
        <v>-0.191189951782844</v>
      </c>
    </row>
    <row r="9" ht="17.25" customHeight="1" spans="1:15">
      <c r="A9" s="1" t="s">
        <v>299</v>
      </c>
      <c r="B9" s="51">
        <v>1579</v>
      </c>
      <c r="C9" s="51">
        <v>2195</v>
      </c>
      <c r="D9" s="51">
        <f t="shared" si="5"/>
        <v>616</v>
      </c>
      <c r="E9" s="5">
        <f t="shared" si="0"/>
        <v>0.390120329322356</v>
      </c>
      <c r="F9" s="1" t="s">
        <v>233</v>
      </c>
      <c r="G9" s="22">
        <v>59961</v>
      </c>
      <c r="H9" s="22">
        <v>68786</v>
      </c>
      <c r="I9" s="51">
        <f t="shared" si="3"/>
        <v>8825</v>
      </c>
      <c r="J9" s="5">
        <f t="shared" si="1"/>
        <v>0.147178999683127</v>
      </c>
      <c r="K9" s="42" t="s">
        <v>334</v>
      </c>
      <c r="L9" s="51">
        <v>570</v>
      </c>
      <c r="M9" s="51">
        <v>365</v>
      </c>
      <c r="N9" s="51">
        <f t="shared" si="4"/>
        <v>-205</v>
      </c>
      <c r="O9" s="5">
        <f t="shared" si="2"/>
        <v>-0.359649122807018</v>
      </c>
    </row>
    <row r="10" ht="17.25" customHeight="1" spans="1:15">
      <c r="A10" s="1" t="s">
        <v>301</v>
      </c>
      <c r="B10" s="51">
        <v>25133</v>
      </c>
      <c r="C10" s="51">
        <v>20930</v>
      </c>
      <c r="D10" s="51">
        <f t="shared" si="5"/>
        <v>-4203</v>
      </c>
      <c r="E10" s="5">
        <f t="shared" si="0"/>
        <v>-0.167230334619823</v>
      </c>
      <c r="F10" s="1" t="s">
        <v>235</v>
      </c>
      <c r="G10" s="22">
        <v>2631</v>
      </c>
      <c r="H10" s="22">
        <v>2636</v>
      </c>
      <c r="I10" s="51">
        <f t="shared" si="3"/>
        <v>5</v>
      </c>
      <c r="J10" s="5">
        <f t="shared" si="1"/>
        <v>0.00190041809198024</v>
      </c>
      <c r="K10" s="42" t="s">
        <v>335</v>
      </c>
      <c r="L10" s="51">
        <v>1471</v>
      </c>
      <c r="M10" s="51">
        <v>643</v>
      </c>
      <c r="N10" s="51">
        <f t="shared" si="4"/>
        <v>-828</v>
      </c>
      <c r="O10" s="5">
        <f t="shared" si="2"/>
        <v>-0.56288239292998</v>
      </c>
    </row>
    <row r="11" ht="17.25" customHeight="1" spans="1:15">
      <c r="A11" s="1" t="s">
        <v>30</v>
      </c>
      <c r="B11" s="51">
        <v>10288</v>
      </c>
      <c r="C11" s="51">
        <v>9857</v>
      </c>
      <c r="D11" s="51">
        <f t="shared" si="5"/>
        <v>-431</v>
      </c>
      <c r="E11" s="5">
        <f t="shared" si="0"/>
        <v>-0.041893468118196</v>
      </c>
      <c r="F11" s="1" t="s">
        <v>237</v>
      </c>
      <c r="G11" s="22">
        <v>2793</v>
      </c>
      <c r="H11" s="22">
        <v>3053</v>
      </c>
      <c r="I11" s="51">
        <f t="shared" si="3"/>
        <v>260</v>
      </c>
      <c r="J11" s="5">
        <f t="shared" si="1"/>
        <v>0.0930898675259578</v>
      </c>
      <c r="K11" s="42" t="s">
        <v>336</v>
      </c>
      <c r="L11" s="51">
        <v>374</v>
      </c>
      <c r="M11" s="51"/>
      <c r="N11" s="51">
        <f t="shared" si="4"/>
        <v>-374</v>
      </c>
      <c r="O11" s="5">
        <f t="shared" si="2"/>
        <v>-1</v>
      </c>
    </row>
    <row r="12" ht="17.25" customHeight="1" spans="1:15">
      <c r="A12" s="1" t="s">
        <v>33</v>
      </c>
      <c r="B12" s="51">
        <v>3859</v>
      </c>
      <c r="C12" s="51">
        <v>3780</v>
      </c>
      <c r="D12" s="51">
        <f t="shared" si="5"/>
        <v>-79</v>
      </c>
      <c r="E12" s="5">
        <f t="shared" si="0"/>
        <v>-0.0204716247732573</v>
      </c>
      <c r="F12" s="1" t="s">
        <v>239</v>
      </c>
      <c r="G12" s="22">
        <v>14595</v>
      </c>
      <c r="H12" s="22">
        <v>22047</v>
      </c>
      <c r="I12" s="51">
        <f t="shared" si="3"/>
        <v>7452</v>
      </c>
      <c r="J12" s="5">
        <f t="shared" si="1"/>
        <v>0.510585817060637</v>
      </c>
      <c r="K12" s="42" t="s">
        <v>337</v>
      </c>
      <c r="L12" s="51">
        <v>916</v>
      </c>
      <c r="M12" s="51"/>
      <c r="N12" s="51">
        <f t="shared" si="4"/>
        <v>-916</v>
      </c>
      <c r="O12" s="5">
        <f t="shared" si="2"/>
        <v>-1</v>
      </c>
    </row>
    <row r="13" ht="17.25" customHeight="1" spans="1:15">
      <c r="A13" s="1" t="s">
        <v>36</v>
      </c>
      <c r="B13" s="51">
        <v>2115</v>
      </c>
      <c r="C13" s="51">
        <v>2306</v>
      </c>
      <c r="D13" s="51">
        <f t="shared" si="5"/>
        <v>191</v>
      </c>
      <c r="E13" s="5">
        <f t="shared" si="0"/>
        <v>0.090307328605201</v>
      </c>
      <c r="F13" s="1" t="s">
        <v>273</v>
      </c>
      <c r="G13" s="22">
        <v>33899</v>
      </c>
      <c r="H13" s="22">
        <v>38195</v>
      </c>
      <c r="I13" s="51">
        <f t="shared" si="3"/>
        <v>4296</v>
      </c>
      <c r="J13" s="5">
        <f t="shared" si="1"/>
        <v>0.126729402047258</v>
      </c>
      <c r="K13" s="42" t="s">
        <v>338</v>
      </c>
      <c r="L13" s="51">
        <v>17</v>
      </c>
      <c r="M13" s="51">
        <v>126</v>
      </c>
      <c r="N13" s="51">
        <f t="shared" si="4"/>
        <v>109</v>
      </c>
      <c r="O13" s="5">
        <f t="shared" si="2"/>
        <v>6.41176470588235</v>
      </c>
    </row>
    <row r="14" ht="17.25" customHeight="1" spans="1:15">
      <c r="A14" s="1" t="s">
        <v>39</v>
      </c>
      <c r="B14" s="51">
        <v>3273</v>
      </c>
      <c r="C14" s="51">
        <v>3101</v>
      </c>
      <c r="D14" s="51">
        <f t="shared" si="5"/>
        <v>-172</v>
      </c>
      <c r="E14" s="5">
        <f t="shared" si="0"/>
        <v>-0.0525511762908646</v>
      </c>
      <c r="F14" s="1" t="s">
        <v>241</v>
      </c>
      <c r="G14" s="22">
        <v>18484</v>
      </c>
      <c r="H14" s="22">
        <v>10635</v>
      </c>
      <c r="I14" s="51">
        <f t="shared" si="3"/>
        <v>-7849</v>
      </c>
      <c r="J14" s="5">
        <f t="shared" si="1"/>
        <v>-0.42463752434538</v>
      </c>
      <c r="K14" s="42" t="s">
        <v>339</v>
      </c>
      <c r="L14" s="51"/>
      <c r="M14" s="51">
        <v>399</v>
      </c>
      <c r="N14" s="51">
        <f t="shared" si="4"/>
        <v>399</v>
      </c>
      <c r="O14" s="5"/>
    </row>
    <row r="15" ht="17.25" customHeight="1" spans="1:15">
      <c r="A15" s="1" t="s">
        <v>42</v>
      </c>
      <c r="B15" s="51">
        <v>1492</v>
      </c>
      <c r="C15" s="51">
        <v>1540</v>
      </c>
      <c r="D15" s="51">
        <f t="shared" si="5"/>
        <v>48</v>
      </c>
      <c r="E15" s="5">
        <f t="shared" si="0"/>
        <v>0.032171581769437</v>
      </c>
      <c r="F15" s="1" t="s">
        <v>274</v>
      </c>
      <c r="G15" s="22">
        <v>6923</v>
      </c>
      <c r="H15" s="22">
        <v>6560</v>
      </c>
      <c r="I15" s="51">
        <f t="shared" si="3"/>
        <v>-363</v>
      </c>
      <c r="J15" s="5">
        <f t="shared" si="1"/>
        <v>-0.0524339159323992</v>
      </c>
      <c r="K15" s="42" t="s">
        <v>340</v>
      </c>
      <c r="L15" s="51">
        <v>658</v>
      </c>
      <c r="M15" s="51">
        <v>922</v>
      </c>
      <c r="N15" s="51">
        <f t="shared" si="4"/>
        <v>264</v>
      </c>
      <c r="O15" s="5">
        <f>N15/L15</f>
        <v>0.401215805471125</v>
      </c>
    </row>
    <row r="16" ht="17.25" customHeight="1" spans="1:15">
      <c r="A16" s="1" t="s">
        <v>45</v>
      </c>
      <c r="B16" s="51">
        <v>828</v>
      </c>
      <c r="C16" s="51">
        <v>744</v>
      </c>
      <c r="D16" s="51">
        <f t="shared" si="5"/>
        <v>-84</v>
      </c>
      <c r="E16" s="5">
        <f t="shared" si="0"/>
        <v>-0.101449275362319</v>
      </c>
      <c r="F16" s="1" t="s">
        <v>275</v>
      </c>
      <c r="G16" s="22">
        <v>40112</v>
      </c>
      <c r="H16" s="22">
        <v>47695</v>
      </c>
      <c r="I16" s="51">
        <f t="shared" si="3"/>
        <v>7583</v>
      </c>
      <c r="J16" s="5">
        <f t="shared" si="1"/>
        <v>0.189045672118069</v>
      </c>
      <c r="K16" s="21" t="s">
        <v>32</v>
      </c>
      <c r="L16" s="85">
        <v>15601</v>
      </c>
      <c r="M16" s="85">
        <v>13937</v>
      </c>
      <c r="N16" s="52">
        <f t="shared" si="4"/>
        <v>-1664</v>
      </c>
      <c r="O16" s="18">
        <f>N16/L16</f>
        <v>-0.106659829498109</v>
      </c>
    </row>
    <row r="17" ht="17.25" customHeight="1" spans="1:15">
      <c r="A17" s="1" t="s">
        <v>47</v>
      </c>
      <c r="B17" s="51">
        <v>2034</v>
      </c>
      <c r="C17" s="51">
        <v>2252</v>
      </c>
      <c r="D17" s="51">
        <f t="shared" si="5"/>
        <v>218</v>
      </c>
      <c r="E17" s="5">
        <f t="shared" si="0"/>
        <v>0.107177974434612</v>
      </c>
      <c r="F17" s="1" t="s">
        <v>244</v>
      </c>
      <c r="G17" s="22">
        <v>3089</v>
      </c>
      <c r="H17" s="22">
        <v>12779</v>
      </c>
      <c r="I17" s="51">
        <f t="shared" si="3"/>
        <v>9690</v>
      </c>
      <c r="J17" s="5">
        <f t="shared" si="1"/>
        <v>3.13693752023308</v>
      </c>
      <c r="K17" s="21" t="s">
        <v>35</v>
      </c>
      <c r="L17" s="85">
        <v>7267</v>
      </c>
      <c r="M17" s="85">
        <v>7606</v>
      </c>
      <c r="N17" s="85">
        <f t="shared" si="4"/>
        <v>339</v>
      </c>
      <c r="O17" s="18">
        <f>N17/L17</f>
        <v>0.0466492362735654</v>
      </c>
    </row>
    <row r="18" ht="17.25" customHeight="1" spans="1:15">
      <c r="A18" s="1" t="s">
        <v>50</v>
      </c>
      <c r="B18" s="51">
        <v>2771</v>
      </c>
      <c r="C18" s="51">
        <v>4546</v>
      </c>
      <c r="D18" s="51">
        <f t="shared" si="5"/>
        <v>1775</v>
      </c>
      <c r="E18" s="5">
        <f t="shared" si="0"/>
        <v>0.64056297365572</v>
      </c>
      <c r="F18" s="1" t="s">
        <v>276</v>
      </c>
      <c r="G18" s="22">
        <v>9797</v>
      </c>
      <c r="H18" s="22">
        <v>2546</v>
      </c>
      <c r="I18" s="51">
        <f t="shared" si="3"/>
        <v>-7251</v>
      </c>
      <c r="J18" s="5">
        <f t="shared" si="1"/>
        <v>-0.740124527916709</v>
      </c>
      <c r="K18" s="21" t="s">
        <v>108</v>
      </c>
      <c r="L18" s="85"/>
      <c r="M18" s="85">
        <v>15882</v>
      </c>
      <c r="N18" s="85">
        <f t="shared" si="4"/>
        <v>15882</v>
      </c>
      <c r="O18" s="18"/>
    </row>
    <row r="19" ht="17.25" customHeight="1" spans="1:15">
      <c r="A19" s="1" t="s">
        <v>53</v>
      </c>
      <c r="B19" s="51">
        <v>1173</v>
      </c>
      <c r="C19" s="51">
        <v>1208</v>
      </c>
      <c r="D19" s="51">
        <f t="shared" si="5"/>
        <v>35</v>
      </c>
      <c r="E19" s="5">
        <f t="shared" si="0"/>
        <v>0.0298380221653879</v>
      </c>
      <c r="F19" s="1" t="s">
        <v>277</v>
      </c>
      <c r="G19" s="22">
        <v>2315</v>
      </c>
      <c r="H19" s="22">
        <v>1584</v>
      </c>
      <c r="I19" s="51">
        <f t="shared" si="3"/>
        <v>-731</v>
      </c>
      <c r="J19" s="5">
        <f t="shared" si="1"/>
        <v>-0.315766738660907</v>
      </c>
      <c r="K19" s="46" t="s">
        <v>41</v>
      </c>
      <c r="L19" s="52">
        <f>SUM(L17,L16,L5)</f>
        <v>111333</v>
      </c>
      <c r="M19" s="85">
        <f>SUM(M17,M16,M5,M18)</f>
        <v>107857</v>
      </c>
      <c r="N19" s="89">
        <f t="shared" si="4"/>
        <v>-3476</v>
      </c>
      <c r="O19" s="18">
        <f>N19/L19</f>
        <v>-0.0312216503642226</v>
      </c>
    </row>
    <row r="20" ht="17.25" customHeight="1" spans="1:15">
      <c r="A20" s="1" t="s">
        <v>247</v>
      </c>
      <c r="B20" s="51">
        <v>1232</v>
      </c>
      <c r="C20" s="51">
        <v>1498</v>
      </c>
      <c r="D20" s="51">
        <f t="shared" si="5"/>
        <v>266</v>
      </c>
      <c r="E20" s="5">
        <f t="shared" si="0"/>
        <v>0.215909090909091</v>
      </c>
      <c r="F20" s="1" t="s">
        <v>278</v>
      </c>
      <c r="G20" s="22">
        <v>1608</v>
      </c>
      <c r="H20" s="22">
        <v>3003</v>
      </c>
      <c r="I20" s="51">
        <f t="shared" si="3"/>
        <v>1395</v>
      </c>
      <c r="J20" s="5">
        <f t="shared" si="1"/>
        <v>0.867537313432836</v>
      </c>
      <c r="K20" s="12" t="s">
        <v>306</v>
      </c>
      <c r="L20" s="13"/>
      <c r="M20" s="13"/>
      <c r="N20" s="13"/>
      <c r="O20" s="40"/>
    </row>
    <row r="21" ht="17.25" customHeight="1" spans="1:15">
      <c r="A21" s="1" t="s">
        <v>250</v>
      </c>
      <c r="B21" s="51">
        <v>2970</v>
      </c>
      <c r="C21" s="51">
        <v>1147</v>
      </c>
      <c r="D21" s="51">
        <f t="shared" si="5"/>
        <v>-1823</v>
      </c>
      <c r="E21" s="5">
        <f t="shared" si="0"/>
        <v>-0.613804713804714</v>
      </c>
      <c r="F21" s="1" t="s">
        <v>279</v>
      </c>
      <c r="G21" s="22">
        <v>1979</v>
      </c>
      <c r="H21" s="22">
        <v>4322</v>
      </c>
      <c r="I21" s="51">
        <f t="shared" si="3"/>
        <v>2343</v>
      </c>
      <c r="J21" s="5">
        <f t="shared" ref="J21:J32" si="6">I21/G21</f>
        <v>1.18393127842345</v>
      </c>
      <c r="K21" s="15" t="s">
        <v>6</v>
      </c>
      <c r="L21" s="15" t="s">
        <v>328</v>
      </c>
      <c r="M21" s="15" t="s">
        <v>294</v>
      </c>
      <c r="N21" s="4" t="s">
        <v>11</v>
      </c>
      <c r="O21" s="4" t="s">
        <v>10</v>
      </c>
    </row>
    <row r="22" ht="17.25" customHeight="1" spans="1:15">
      <c r="A22" s="21" t="s">
        <v>68</v>
      </c>
      <c r="B22" s="52">
        <f>SUM(B23,B28:B32)</f>
        <v>43114</v>
      </c>
      <c r="C22" s="52">
        <f>SUM(C23,C28:C32)</f>
        <v>42060</v>
      </c>
      <c r="D22" s="52">
        <f>SUM(D23,D28:D32)</f>
        <v>-1054</v>
      </c>
      <c r="E22" s="18">
        <f t="shared" si="0"/>
        <v>-0.0244468154195853</v>
      </c>
      <c r="F22" s="1" t="s">
        <v>281</v>
      </c>
      <c r="G22" s="22">
        <v>1505</v>
      </c>
      <c r="H22" s="22">
        <v>2775</v>
      </c>
      <c r="I22" s="51">
        <f t="shared" si="3"/>
        <v>1270</v>
      </c>
      <c r="J22" s="5">
        <f t="shared" si="6"/>
        <v>0.843853820598007</v>
      </c>
      <c r="K22" s="46" t="s">
        <v>49</v>
      </c>
      <c r="L22" s="52">
        <f>SUM(L23:L40)</f>
        <v>103098</v>
      </c>
      <c r="M22" s="52">
        <f>SUM(M23:M40)</f>
        <v>78365</v>
      </c>
      <c r="N22" s="88">
        <f>SUM(N23:N40)</f>
        <v>-24733</v>
      </c>
      <c r="O22" s="18">
        <f t="shared" ref="O22:O44" si="7">N22/L22</f>
        <v>-0.239897961163165</v>
      </c>
    </row>
    <row r="23" ht="17.25" customHeight="1" spans="1:15">
      <c r="A23" s="21" t="s">
        <v>71</v>
      </c>
      <c r="B23" s="52">
        <f>SUM(B24:B27)</f>
        <v>2948</v>
      </c>
      <c r="C23" s="52">
        <v>6348</v>
      </c>
      <c r="D23" s="52">
        <f>C23-B23</f>
        <v>3400</v>
      </c>
      <c r="E23" s="18">
        <f t="shared" si="0"/>
        <v>1.15332428765265</v>
      </c>
      <c r="F23" s="1" t="s">
        <v>255</v>
      </c>
      <c r="G23" s="22">
        <v>160</v>
      </c>
      <c r="H23" s="22">
        <v>647</v>
      </c>
      <c r="I23" s="51">
        <f t="shared" si="3"/>
        <v>487</v>
      </c>
      <c r="J23" s="5">
        <f t="shared" si="6"/>
        <v>3.04375</v>
      </c>
      <c r="K23" s="42" t="s">
        <v>341</v>
      </c>
      <c r="L23" s="51">
        <v>2517</v>
      </c>
      <c r="M23" s="51"/>
      <c r="N23" s="51">
        <f t="shared" ref="N23:N43" si="8">M23-L23</f>
        <v>-2517</v>
      </c>
      <c r="O23" s="5">
        <f t="shared" si="7"/>
        <v>-1</v>
      </c>
    </row>
    <row r="24" ht="17.25" customHeight="1" spans="1:15">
      <c r="A24" s="1" t="s">
        <v>309</v>
      </c>
      <c r="B24" s="51">
        <v>142</v>
      </c>
      <c r="C24" s="51">
        <v>143</v>
      </c>
      <c r="D24" s="51">
        <f t="shared" ref="D24:D32" si="9">C24-B24</f>
        <v>1</v>
      </c>
      <c r="E24" s="5">
        <f t="shared" si="0"/>
        <v>0.00704225352112676</v>
      </c>
      <c r="F24" s="1" t="s">
        <v>257</v>
      </c>
      <c r="G24" s="22">
        <v>65</v>
      </c>
      <c r="H24" s="22">
        <v>76</v>
      </c>
      <c r="I24" s="51">
        <f t="shared" si="3"/>
        <v>11</v>
      </c>
      <c r="J24" s="5">
        <f t="shared" si="6"/>
        <v>0.169230769230769</v>
      </c>
      <c r="K24" s="42" t="s">
        <v>342</v>
      </c>
      <c r="L24" s="51">
        <v>103</v>
      </c>
      <c r="M24" s="51"/>
      <c r="N24" s="51">
        <f t="shared" si="8"/>
        <v>-103</v>
      </c>
      <c r="O24" s="5">
        <f t="shared" si="7"/>
        <v>-1</v>
      </c>
    </row>
    <row r="25" ht="17.25" customHeight="1" spans="1:15">
      <c r="A25" s="1" t="s">
        <v>310</v>
      </c>
      <c r="B25" s="51">
        <v>216</v>
      </c>
      <c r="C25" s="51">
        <v>237</v>
      </c>
      <c r="D25" s="51">
        <f t="shared" si="9"/>
        <v>21</v>
      </c>
      <c r="E25" s="5">
        <f t="shared" si="0"/>
        <v>0.0972222222222222</v>
      </c>
      <c r="F25" s="26" t="s">
        <v>78</v>
      </c>
      <c r="G25" s="69">
        <f>SUM(G26:G27)</f>
        <v>1918</v>
      </c>
      <c r="H25" s="69">
        <f>SUM(H26:H27)</f>
        <v>3155</v>
      </c>
      <c r="I25" s="52">
        <f t="shared" si="3"/>
        <v>1237</v>
      </c>
      <c r="J25" s="18">
        <f t="shared" si="6"/>
        <v>0.644942648592284</v>
      </c>
      <c r="K25" s="42" t="s">
        <v>343</v>
      </c>
      <c r="L25" s="51">
        <v>552</v>
      </c>
      <c r="M25" s="51">
        <v>705</v>
      </c>
      <c r="N25" s="51">
        <f t="shared" si="8"/>
        <v>153</v>
      </c>
      <c r="O25" s="5">
        <f t="shared" si="7"/>
        <v>0.277173913043478</v>
      </c>
    </row>
    <row r="26" ht="17.25" customHeight="1" spans="1:15">
      <c r="A26" s="1" t="s">
        <v>312</v>
      </c>
      <c r="B26" s="51">
        <v>1778</v>
      </c>
      <c r="C26" s="51">
        <v>2248</v>
      </c>
      <c r="D26" s="51">
        <f t="shared" si="9"/>
        <v>470</v>
      </c>
      <c r="E26" s="5">
        <f t="shared" si="0"/>
        <v>0.264341957255343</v>
      </c>
      <c r="F26" s="1" t="s">
        <v>81</v>
      </c>
      <c r="G26" s="22">
        <v>246</v>
      </c>
      <c r="H26" s="22"/>
      <c r="I26" s="51">
        <f t="shared" si="3"/>
        <v>-246</v>
      </c>
      <c r="J26" s="18"/>
      <c r="K26" s="42" t="s">
        <v>344</v>
      </c>
      <c r="L26" s="51">
        <v>424</v>
      </c>
      <c r="M26" s="51"/>
      <c r="N26" s="51">
        <f t="shared" si="8"/>
        <v>-424</v>
      </c>
      <c r="O26" s="5">
        <f t="shared" si="7"/>
        <v>-1</v>
      </c>
    </row>
    <row r="27" ht="17.25" customHeight="1" spans="1:15">
      <c r="A27" s="25" t="s">
        <v>345</v>
      </c>
      <c r="B27" s="51">
        <v>812</v>
      </c>
      <c r="C27" s="51">
        <v>1067</v>
      </c>
      <c r="D27" s="51">
        <f t="shared" si="9"/>
        <v>255</v>
      </c>
      <c r="E27" s="5">
        <f t="shared" si="0"/>
        <v>0.314039408866995</v>
      </c>
      <c r="F27" s="1" t="s">
        <v>84</v>
      </c>
      <c r="G27" s="22">
        <v>1672</v>
      </c>
      <c r="H27" s="22">
        <v>3155</v>
      </c>
      <c r="I27" s="51">
        <f t="shared" si="3"/>
        <v>1483</v>
      </c>
      <c r="J27" s="5">
        <f t="shared" si="6"/>
        <v>0.886961722488038</v>
      </c>
      <c r="K27" s="42" t="s">
        <v>346</v>
      </c>
      <c r="L27" s="51">
        <v>1380</v>
      </c>
      <c r="M27" s="51">
        <v>700</v>
      </c>
      <c r="N27" s="51">
        <f t="shared" si="8"/>
        <v>-680</v>
      </c>
      <c r="O27" s="5">
        <f t="shared" si="7"/>
        <v>-0.492753623188406</v>
      </c>
    </row>
    <row r="28" ht="17.25" customHeight="1" spans="1:15">
      <c r="A28" s="1" t="s">
        <v>77</v>
      </c>
      <c r="B28" s="51">
        <v>10948</v>
      </c>
      <c r="C28" s="51">
        <v>11264</v>
      </c>
      <c r="D28" s="51">
        <f t="shared" si="9"/>
        <v>316</v>
      </c>
      <c r="E28" s="5">
        <f t="shared" si="0"/>
        <v>0.0288637194008038</v>
      </c>
      <c r="F28" s="26" t="s">
        <v>87</v>
      </c>
      <c r="G28" s="19">
        <v>1000</v>
      </c>
      <c r="H28" s="19">
        <v>249667</v>
      </c>
      <c r="I28" s="51">
        <f t="shared" si="3"/>
        <v>248667</v>
      </c>
      <c r="J28" s="98">
        <f t="shared" si="6"/>
        <v>248.667</v>
      </c>
      <c r="K28" s="42" t="s">
        <v>347</v>
      </c>
      <c r="L28" s="51">
        <v>87882</v>
      </c>
      <c r="M28" s="51">
        <v>65917</v>
      </c>
      <c r="N28" s="51">
        <f t="shared" si="8"/>
        <v>-21965</v>
      </c>
      <c r="O28" s="5">
        <f t="shared" si="7"/>
        <v>-0.249937416080654</v>
      </c>
    </row>
    <row r="29" ht="17.25" customHeight="1" spans="1:15">
      <c r="A29" s="1" t="s">
        <v>80</v>
      </c>
      <c r="B29" s="51">
        <v>4101</v>
      </c>
      <c r="C29" s="51">
        <v>3790</v>
      </c>
      <c r="D29" s="51">
        <f t="shared" si="9"/>
        <v>-311</v>
      </c>
      <c r="E29" s="5">
        <f t="shared" si="0"/>
        <v>-0.0758351621555718</v>
      </c>
      <c r="F29" s="26" t="s">
        <v>90</v>
      </c>
      <c r="G29" s="19">
        <v>667</v>
      </c>
      <c r="H29" s="19">
        <v>8565</v>
      </c>
      <c r="I29" s="52">
        <f t="shared" si="3"/>
        <v>7898</v>
      </c>
      <c r="J29" s="97">
        <f t="shared" si="6"/>
        <v>11.8410794602699</v>
      </c>
      <c r="K29" s="42" t="s">
        <v>348</v>
      </c>
      <c r="L29" s="51">
        <v>641</v>
      </c>
      <c r="M29" s="51">
        <v>566</v>
      </c>
      <c r="N29" s="51">
        <f t="shared" si="8"/>
        <v>-75</v>
      </c>
      <c r="O29" s="5">
        <f t="shared" si="7"/>
        <v>-0.117004680187207</v>
      </c>
    </row>
    <row r="30" ht="17.25" customHeight="1" spans="1:15">
      <c r="A30" s="1" t="s">
        <v>83</v>
      </c>
      <c r="B30" s="51">
        <v>15416</v>
      </c>
      <c r="C30" s="51">
        <v>8993</v>
      </c>
      <c r="D30" s="51">
        <f t="shared" si="9"/>
        <v>-6423</v>
      </c>
      <c r="E30" s="5">
        <f t="shared" si="0"/>
        <v>-0.416645044110016</v>
      </c>
      <c r="F30" s="21" t="s">
        <v>264</v>
      </c>
      <c r="G30" s="19">
        <v>16792</v>
      </c>
      <c r="H30" s="19">
        <v>15991</v>
      </c>
      <c r="I30" s="52">
        <f t="shared" si="3"/>
        <v>-801</v>
      </c>
      <c r="J30" s="18">
        <f t="shared" si="6"/>
        <v>-0.0477012863268223</v>
      </c>
      <c r="K30" s="42" t="s">
        <v>349</v>
      </c>
      <c r="L30" s="51"/>
      <c r="M30" s="51">
        <v>312</v>
      </c>
      <c r="N30" s="51">
        <f t="shared" si="8"/>
        <v>312</v>
      </c>
      <c r="O30" s="5"/>
    </row>
    <row r="31" ht="17.25" customHeight="1" spans="1:15">
      <c r="A31" s="1" t="s">
        <v>86</v>
      </c>
      <c r="B31" s="51">
        <v>351</v>
      </c>
      <c r="C31" s="51">
        <v>686</v>
      </c>
      <c r="D31" s="51">
        <f t="shared" si="9"/>
        <v>335</v>
      </c>
      <c r="E31" s="5">
        <f t="shared" si="0"/>
        <v>0.954415954415954</v>
      </c>
      <c r="F31" s="1" t="s">
        <v>100</v>
      </c>
      <c r="G31" s="22">
        <v>16792</v>
      </c>
      <c r="H31" s="22">
        <v>15991</v>
      </c>
      <c r="I31" s="52">
        <f t="shared" si="3"/>
        <v>-801</v>
      </c>
      <c r="J31" s="18">
        <f t="shared" si="6"/>
        <v>-0.0477012863268223</v>
      </c>
      <c r="K31" s="42" t="s">
        <v>350</v>
      </c>
      <c r="L31" s="51"/>
      <c r="M31" s="51">
        <v>261</v>
      </c>
      <c r="N31" s="51">
        <f t="shared" si="8"/>
        <v>261</v>
      </c>
      <c r="O31" s="5"/>
    </row>
    <row r="32" ht="17.25" customHeight="1" spans="1:15">
      <c r="A32" s="1" t="s">
        <v>92</v>
      </c>
      <c r="B32" s="51">
        <v>9350</v>
      </c>
      <c r="C32" s="51">
        <v>10979</v>
      </c>
      <c r="D32" s="51">
        <f t="shared" si="9"/>
        <v>1629</v>
      </c>
      <c r="E32" s="5">
        <f t="shared" si="0"/>
        <v>0.174224598930481</v>
      </c>
      <c r="F32" s="21" t="s">
        <v>103</v>
      </c>
      <c r="G32" s="52">
        <f>SUM(G5,G25,G28:G30)</f>
        <v>257436</v>
      </c>
      <c r="H32" s="52">
        <f>SUM(H5,H25,H28:H30)</f>
        <v>536927</v>
      </c>
      <c r="I32" s="88">
        <f t="shared" si="3"/>
        <v>279491</v>
      </c>
      <c r="J32" s="18">
        <f t="shared" si="6"/>
        <v>1.08567177861682</v>
      </c>
      <c r="K32" s="42" t="s">
        <v>351</v>
      </c>
      <c r="L32" s="51">
        <v>3287</v>
      </c>
      <c r="M32" s="51">
        <v>4531</v>
      </c>
      <c r="N32" s="51">
        <f t="shared" si="8"/>
        <v>1244</v>
      </c>
      <c r="O32" s="5">
        <f t="shared" si="7"/>
        <v>0.378460602372985</v>
      </c>
    </row>
    <row r="33" ht="17.25" customHeight="1" spans="1:15">
      <c r="A33" s="28" t="s">
        <v>94</v>
      </c>
      <c r="B33" s="52">
        <f>SUM(B34:B36)</f>
        <v>116320</v>
      </c>
      <c r="C33" s="52">
        <f>SUM(C34:C36)</f>
        <v>148519</v>
      </c>
      <c r="D33" s="52">
        <f t="shared" ref="D33:D38" si="10">C33-B33</f>
        <v>32199</v>
      </c>
      <c r="E33" s="18">
        <f t="shared" si="0"/>
        <v>0.276813961485557</v>
      </c>
      <c r="F33" s="21"/>
      <c r="G33" s="52"/>
      <c r="H33" s="52"/>
      <c r="I33" s="52">
        <f t="shared" si="3"/>
        <v>0</v>
      </c>
      <c r="J33" s="18"/>
      <c r="K33" s="42" t="s">
        <v>352</v>
      </c>
      <c r="L33" s="51">
        <v>1084</v>
      </c>
      <c r="M33" s="51">
        <v>1222</v>
      </c>
      <c r="N33" s="51">
        <f t="shared" si="8"/>
        <v>138</v>
      </c>
      <c r="O33" s="5">
        <f t="shared" si="7"/>
        <v>0.127306273062731</v>
      </c>
    </row>
    <row r="34" ht="17.25" customHeight="1" spans="1:15">
      <c r="A34" s="29" t="s">
        <v>96</v>
      </c>
      <c r="B34" s="51">
        <v>7699</v>
      </c>
      <c r="C34" s="51">
        <v>7699</v>
      </c>
      <c r="D34" s="51">
        <f t="shared" si="10"/>
        <v>0</v>
      </c>
      <c r="E34" s="5">
        <f t="shared" si="0"/>
        <v>0</v>
      </c>
      <c r="F34" s="21"/>
      <c r="G34" s="52"/>
      <c r="H34" s="52"/>
      <c r="I34" s="52"/>
      <c r="J34" s="18"/>
      <c r="K34" s="42" t="s">
        <v>353</v>
      </c>
      <c r="L34" s="51">
        <v>1149</v>
      </c>
      <c r="M34" s="51"/>
      <c r="N34" s="51">
        <f t="shared" si="8"/>
        <v>-1149</v>
      </c>
      <c r="O34" s="5">
        <f t="shared" si="7"/>
        <v>-1</v>
      </c>
    </row>
    <row r="35" ht="17.25" customHeight="1" spans="1:15">
      <c r="A35" s="29" t="s">
        <v>99</v>
      </c>
      <c r="B35" s="51">
        <v>47806</v>
      </c>
      <c r="C35" s="51">
        <v>76235</v>
      </c>
      <c r="D35" s="51">
        <f t="shared" si="10"/>
        <v>28429</v>
      </c>
      <c r="E35" s="5">
        <f t="shared" si="0"/>
        <v>0.594674308664184</v>
      </c>
      <c r="F35" s="21"/>
      <c r="G35" s="52"/>
      <c r="H35" s="52"/>
      <c r="I35" s="52"/>
      <c r="J35" s="18"/>
      <c r="K35" s="42" t="s">
        <v>354</v>
      </c>
      <c r="L35" s="51"/>
      <c r="M35" s="51">
        <v>17</v>
      </c>
      <c r="N35" s="51">
        <f t="shared" si="8"/>
        <v>17</v>
      </c>
      <c r="O35" s="5" t="e">
        <f t="shared" si="7"/>
        <v>#DIV/0!</v>
      </c>
    </row>
    <row r="36" ht="17.25" customHeight="1" spans="1:15">
      <c r="A36" s="29" t="s">
        <v>102</v>
      </c>
      <c r="B36" s="51">
        <v>60815</v>
      </c>
      <c r="C36" s="51">
        <v>64585</v>
      </c>
      <c r="D36" s="51">
        <f t="shared" si="10"/>
        <v>3770</v>
      </c>
      <c r="E36" s="5">
        <f t="shared" si="0"/>
        <v>0.061991285044808</v>
      </c>
      <c r="F36" s="30" t="s">
        <v>355</v>
      </c>
      <c r="G36" s="31"/>
      <c r="H36" s="31"/>
      <c r="I36" s="31"/>
      <c r="J36" s="48"/>
      <c r="K36" s="42" t="s">
        <v>356</v>
      </c>
      <c r="L36" s="51">
        <v>1181</v>
      </c>
      <c r="M36" s="51"/>
      <c r="N36" s="51">
        <f t="shared" si="8"/>
        <v>-1181</v>
      </c>
      <c r="O36" s="5">
        <f t="shared" si="7"/>
        <v>-1</v>
      </c>
    </row>
    <row r="37" ht="17.25" customHeight="1" spans="1:15">
      <c r="A37" s="33" t="s">
        <v>105</v>
      </c>
      <c r="B37" s="52">
        <v>19950</v>
      </c>
      <c r="C37" s="52">
        <v>16792</v>
      </c>
      <c r="D37" s="52">
        <f t="shared" si="10"/>
        <v>-3158</v>
      </c>
      <c r="E37" s="18">
        <f t="shared" si="0"/>
        <v>-0.158295739348371</v>
      </c>
      <c r="F37" s="15" t="s">
        <v>6</v>
      </c>
      <c r="G37" s="15" t="s">
        <v>327</v>
      </c>
      <c r="H37" s="15" t="s">
        <v>294</v>
      </c>
      <c r="I37" s="15" t="s">
        <v>9</v>
      </c>
      <c r="J37" s="15" t="s">
        <v>10</v>
      </c>
      <c r="K37" s="42" t="s">
        <v>357</v>
      </c>
      <c r="L37" s="51"/>
      <c r="M37" s="51">
        <v>175</v>
      </c>
      <c r="N37" s="51">
        <f t="shared" si="8"/>
        <v>175</v>
      </c>
      <c r="O37" s="5" t="e">
        <f t="shared" si="7"/>
        <v>#DIV/0!</v>
      </c>
    </row>
    <row r="38" ht="17.25" customHeight="1" spans="1:15">
      <c r="A38" s="33" t="s">
        <v>108</v>
      </c>
      <c r="B38" s="52">
        <v>6300</v>
      </c>
      <c r="C38" s="52">
        <v>257518</v>
      </c>
      <c r="D38" s="88">
        <f t="shared" si="10"/>
        <v>251218</v>
      </c>
      <c r="E38" s="97">
        <f t="shared" si="0"/>
        <v>39.875873015873</v>
      </c>
      <c r="F38" s="21" t="s">
        <v>329</v>
      </c>
      <c r="G38" s="52">
        <f>B5</f>
        <v>112226</v>
      </c>
      <c r="H38" s="52">
        <f>C5</f>
        <v>106835</v>
      </c>
      <c r="I38" s="52">
        <f>H38-G38</f>
        <v>-5391</v>
      </c>
      <c r="J38" s="18">
        <f t="shared" ref="J38:J44" si="11">I38/G38</f>
        <v>-0.048036996774366</v>
      </c>
      <c r="K38" s="42" t="s">
        <v>358</v>
      </c>
      <c r="L38" s="51">
        <v>670</v>
      </c>
      <c r="M38" s="51">
        <v>671</v>
      </c>
      <c r="N38" s="51">
        <f t="shared" si="8"/>
        <v>1</v>
      </c>
      <c r="O38" s="5">
        <f t="shared" si="7"/>
        <v>0.00149253731343284</v>
      </c>
    </row>
    <row r="39" ht="17.25" customHeight="1" spans="1:15">
      <c r="A39" s="87" t="s">
        <v>110</v>
      </c>
      <c r="B39" s="52">
        <v>1640</v>
      </c>
      <c r="C39" s="52">
        <v>667</v>
      </c>
      <c r="D39" s="52"/>
      <c r="E39" s="18"/>
      <c r="F39" s="34" t="s">
        <v>359</v>
      </c>
      <c r="G39" s="52">
        <f>SUM(G40:G43)</f>
        <v>52528.5</v>
      </c>
      <c r="H39" s="52">
        <f>SUM(H40:H43)</f>
        <v>49662.5</v>
      </c>
      <c r="I39" s="85">
        <f>SUM(I40:I43)</f>
        <v>-2866</v>
      </c>
      <c r="J39" s="18">
        <f t="shared" si="11"/>
        <v>-0.0545608574392949</v>
      </c>
      <c r="K39" s="42" t="s">
        <v>360</v>
      </c>
      <c r="L39" s="51">
        <v>1680</v>
      </c>
      <c r="M39" s="51">
        <v>2690</v>
      </c>
      <c r="N39" s="51">
        <f t="shared" si="8"/>
        <v>1010</v>
      </c>
      <c r="O39" s="5">
        <f t="shared" si="7"/>
        <v>0.601190476190476</v>
      </c>
    </row>
    <row r="40" ht="17.25" customHeight="1" spans="1:15">
      <c r="A40" s="33" t="s">
        <v>112</v>
      </c>
      <c r="B40" s="52">
        <v>1000</v>
      </c>
      <c r="C40" s="52">
        <v>6596</v>
      </c>
      <c r="D40" s="52"/>
      <c r="E40" s="18"/>
      <c r="F40" s="35" t="s">
        <v>361</v>
      </c>
      <c r="G40" s="51">
        <f>B8*3+1</f>
        <v>31096</v>
      </c>
      <c r="H40" s="51">
        <f>C8*3+1</f>
        <v>29014</v>
      </c>
      <c r="I40" s="51">
        <f>H40-G40</f>
        <v>-2082</v>
      </c>
      <c r="J40" s="5">
        <f t="shared" si="11"/>
        <v>-0.0669539490609725</v>
      </c>
      <c r="K40" s="42" t="s">
        <v>362</v>
      </c>
      <c r="L40" s="51">
        <v>548</v>
      </c>
      <c r="M40" s="51">
        <v>598</v>
      </c>
      <c r="N40" s="51">
        <f t="shared" si="8"/>
        <v>50</v>
      </c>
      <c r="O40" s="5">
        <f t="shared" si="7"/>
        <v>0.0912408759124088</v>
      </c>
    </row>
    <row r="41" ht="17.25" customHeight="1" spans="1:15">
      <c r="A41" s="33"/>
      <c r="B41" s="52"/>
      <c r="C41" s="52"/>
      <c r="D41" s="52"/>
      <c r="E41" s="18"/>
      <c r="F41" s="35" t="s">
        <v>117</v>
      </c>
      <c r="G41" s="51">
        <f>B11*1.5</f>
        <v>15432</v>
      </c>
      <c r="H41" s="51">
        <f>C11*1.5</f>
        <v>14785.5</v>
      </c>
      <c r="I41" s="51">
        <f>H41-G41</f>
        <v>-646.5</v>
      </c>
      <c r="J41" s="5">
        <f t="shared" si="11"/>
        <v>-0.041893468118196</v>
      </c>
      <c r="K41" s="16" t="s">
        <v>267</v>
      </c>
      <c r="L41" s="41">
        <v>629</v>
      </c>
      <c r="M41" s="41">
        <v>4104</v>
      </c>
      <c r="N41" s="41">
        <f t="shared" si="8"/>
        <v>3475</v>
      </c>
      <c r="O41" s="18">
        <f t="shared" si="7"/>
        <v>5.52464228934817</v>
      </c>
    </row>
    <row r="42" ht="17.25" customHeight="1" spans="1:15">
      <c r="A42" s="33"/>
      <c r="B42" s="52"/>
      <c r="C42" s="52"/>
      <c r="D42" s="52"/>
      <c r="E42" s="18"/>
      <c r="F42" s="35" t="s">
        <v>118</v>
      </c>
      <c r="G42" s="51">
        <f>B12*1.5</f>
        <v>5788.5</v>
      </c>
      <c r="H42" s="51">
        <f>C12*1.5</f>
        <v>5670</v>
      </c>
      <c r="I42" s="51">
        <f>H42-G42</f>
        <v>-118.5</v>
      </c>
      <c r="J42" s="5">
        <f t="shared" si="11"/>
        <v>-0.0204716247732573</v>
      </c>
      <c r="K42" s="16" t="s">
        <v>87</v>
      </c>
      <c r="L42" s="41"/>
      <c r="M42" s="41">
        <v>15000</v>
      </c>
      <c r="N42" s="41">
        <f t="shared" si="8"/>
        <v>15000</v>
      </c>
      <c r="O42" s="18"/>
    </row>
    <row r="43" ht="18" customHeight="1" spans="1:15">
      <c r="A43" s="1"/>
      <c r="B43" s="51"/>
      <c r="C43" s="51"/>
      <c r="D43" s="51"/>
      <c r="E43" s="18"/>
      <c r="F43" s="35" t="s">
        <v>314</v>
      </c>
      <c r="G43" s="51">
        <v>212</v>
      </c>
      <c r="H43" s="51">
        <v>193</v>
      </c>
      <c r="I43" s="51">
        <f>H43-G43</f>
        <v>-19</v>
      </c>
      <c r="J43" s="5">
        <f t="shared" si="11"/>
        <v>-0.089622641509434</v>
      </c>
      <c r="K43" s="21" t="s">
        <v>88</v>
      </c>
      <c r="L43" s="52">
        <v>7606</v>
      </c>
      <c r="M43" s="52">
        <v>10388</v>
      </c>
      <c r="N43" s="52">
        <f t="shared" si="8"/>
        <v>2782</v>
      </c>
      <c r="O43" s="18">
        <f t="shared" si="7"/>
        <v>0.365763870628451</v>
      </c>
    </row>
    <row r="44" ht="18" customHeight="1" spans="1:15">
      <c r="A44" s="28" t="s">
        <v>124</v>
      </c>
      <c r="B44" s="52">
        <f>SUM(B5,B33,B37:B40)</f>
        <v>257436</v>
      </c>
      <c r="C44" s="52">
        <f>SUM(C5,C33,C37:C40)</f>
        <v>536927</v>
      </c>
      <c r="D44" s="88">
        <f>SUM(D5,D33,D37:D38)</f>
        <v>274868</v>
      </c>
      <c r="E44" s="18">
        <f>D44/B44</f>
        <v>1.06771391724545</v>
      </c>
      <c r="F44" s="36" t="s">
        <v>363</v>
      </c>
      <c r="G44" s="52">
        <f>SUM(G38:G39)</f>
        <v>164754.5</v>
      </c>
      <c r="H44" s="52">
        <f>SUM(H38:H39)</f>
        <v>156497.5</v>
      </c>
      <c r="I44" s="89">
        <f>SUM(I38:I39)</f>
        <v>-8257</v>
      </c>
      <c r="J44" s="18">
        <f t="shared" si="11"/>
        <v>-0.0501169922521084</v>
      </c>
      <c r="K44" s="21" t="s">
        <v>91</v>
      </c>
      <c r="L44" s="52">
        <f>SUM(L22,L41:L43)</f>
        <v>111333</v>
      </c>
      <c r="M44" s="52">
        <f>SUM(M22,M41:M43)</f>
        <v>107857</v>
      </c>
      <c r="N44" s="88">
        <f>SUM(N22,N41:N43)</f>
        <v>-3476</v>
      </c>
      <c r="O44" s="18">
        <f t="shared" si="7"/>
        <v>-0.0312216503642226</v>
      </c>
    </row>
    <row r="45" ht="21" customHeight="1" spans="1:1">
      <c r="A45" t="s">
        <v>364</v>
      </c>
    </row>
    <row r="46" ht="15.95" customHeight="1" spans="1:7">
      <c r="A46" s="37"/>
      <c r="G46" s="38"/>
    </row>
    <row r="47" ht="15.95" customHeight="1"/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C1" workbookViewId="0">
      <selection activeCell="N42" sqref="N42:N44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365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49" t="s">
        <v>292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329</v>
      </c>
      <c r="B5" s="52">
        <f>SUM(B6,B22)</f>
        <v>122200</v>
      </c>
      <c r="C5" s="52">
        <f>SUM(C6,C22)</f>
        <v>101500</v>
      </c>
      <c r="D5" s="52">
        <f>SUM(D6,D22)</f>
        <v>106835</v>
      </c>
      <c r="E5" s="18">
        <f t="shared" ref="E5:E32" si="0">D5/C5</f>
        <v>1.05256157635468</v>
      </c>
      <c r="F5" s="21" t="s">
        <v>330</v>
      </c>
      <c r="G5" s="19">
        <f>SUM(G6:G24)</f>
        <v>146500</v>
      </c>
      <c r="H5" s="19">
        <f>SUM(H6:H24)</f>
        <v>275540</v>
      </c>
      <c r="I5" s="19">
        <f>SUM(I6:I24)</f>
        <v>259549</v>
      </c>
      <c r="J5" s="18">
        <f t="shared" ref="J5:J24" si="1">I5/H5</f>
        <v>0.941964868984539</v>
      </c>
      <c r="K5" s="16" t="s">
        <v>133</v>
      </c>
      <c r="L5" s="19">
        <f>SUM(L6:L13)</f>
        <v>58900</v>
      </c>
      <c r="M5" s="19">
        <f>SUM(M6:M13)</f>
        <v>67200</v>
      </c>
      <c r="N5" s="19">
        <f>SUM(N6:N13)</f>
        <v>70432</v>
      </c>
      <c r="O5" s="18">
        <f t="shared" ref="O5:O13" si="2">N5/M5</f>
        <v>1.04809523809524</v>
      </c>
    </row>
    <row r="6" ht="16.5" customHeight="1" spans="1:15">
      <c r="A6" s="21" t="s">
        <v>15</v>
      </c>
      <c r="B6" s="52">
        <f>SUM(B7,B10:B21)</f>
        <v>85200</v>
      </c>
      <c r="C6" s="52">
        <f>SUM(C7,C10:C21)</f>
        <v>63600</v>
      </c>
      <c r="D6" s="52">
        <f>SUM(D7,D10:D21)</f>
        <v>64775</v>
      </c>
      <c r="E6" s="18">
        <f t="shared" si="0"/>
        <v>1.0184748427673</v>
      </c>
      <c r="F6" s="1" t="s">
        <v>228</v>
      </c>
      <c r="G6" s="22">
        <v>19051</v>
      </c>
      <c r="H6" s="22">
        <v>21904</v>
      </c>
      <c r="I6" s="22">
        <v>20575</v>
      </c>
      <c r="J6" s="60">
        <f t="shared" si="1"/>
        <v>0.939326150474799</v>
      </c>
      <c r="K6" s="42" t="s">
        <v>295</v>
      </c>
      <c r="L6" s="22">
        <v>200</v>
      </c>
      <c r="M6" s="22">
        <v>15</v>
      </c>
      <c r="N6" s="51">
        <v>41</v>
      </c>
      <c r="O6" s="5">
        <f t="shared" si="2"/>
        <v>2.73333333333333</v>
      </c>
    </row>
    <row r="7" ht="16.5" customHeight="1" spans="1:15">
      <c r="A7" s="1" t="s">
        <v>18</v>
      </c>
      <c r="B7" s="51">
        <f>SUM(B8:B9)</f>
        <v>14100</v>
      </c>
      <c r="C7" s="51">
        <f>SUM(C8:C9)</f>
        <v>12000</v>
      </c>
      <c r="D7" s="51">
        <f>SUM(D8:D9)</f>
        <v>11866</v>
      </c>
      <c r="E7" s="5">
        <f t="shared" si="0"/>
        <v>0.988833333333333</v>
      </c>
      <c r="F7" s="1" t="s">
        <v>229</v>
      </c>
      <c r="G7" s="22">
        <v>250</v>
      </c>
      <c r="H7" s="22">
        <v>435</v>
      </c>
      <c r="I7" s="22">
        <v>378</v>
      </c>
      <c r="J7" s="60">
        <f t="shared" si="1"/>
        <v>0.868965517241379</v>
      </c>
      <c r="K7" s="42" t="s">
        <v>230</v>
      </c>
      <c r="L7" s="22">
        <v>700</v>
      </c>
      <c r="M7" s="22">
        <v>500</v>
      </c>
      <c r="N7" s="51">
        <v>365</v>
      </c>
      <c r="O7" s="5">
        <f t="shared" si="2"/>
        <v>0.73</v>
      </c>
    </row>
    <row r="8" ht="16.5" customHeight="1" spans="1:15">
      <c r="A8" s="1" t="s">
        <v>297</v>
      </c>
      <c r="B8" s="51">
        <v>11487</v>
      </c>
      <c r="C8" s="51">
        <v>10110</v>
      </c>
      <c r="D8" s="51">
        <v>9671</v>
      </c>
      <c r="E8" s="5">
        <f t="shared" si="0"/>
        <v>0.956577645895153</v>
      </c>
      <c r="F8" s="1" t="s">
        <v>231</v>
      </c>
      <c r="G8" s="51">
        <v>9837</v>
      </c>
      <c r="H8" s="22">
        <v>11939</v>
      </c>
      <c r="I8" s="22">
        <v>11257</v>
      </c>
      <c r="J8" s="60">
        <f t="shared" si="1"/>
        <v>0.942876287796298</v>
      </c>
      <c r="K8" s="42" t="s">
        <v>333</v>
      </c>
      <c r="L8" s="22">
        <v>55800</v>
      </c>
      <c r="M8" s="22">
        <v>65000</v>
      </c>
      <c r="N8" s="51">
        <v>67936</v>
      </c>
      <c r="O8" s="5">
        <f t="shared" si="2"/>
        <v>1.04516923076923</v>
      </c>
    </row>
    <row r="9" ht="16.5" customHeight="1" spans="1:15">
      <c r="A9" s="1" t="s">
        <v>299</v>
      </c>
      <c r="B9" s="51">
        <v>2613</v>
      </c>
      <c r="C9" s="51">
        <v>1890</v>
      </c>
      <c r="D9" s="51">
        <v>2195</v>
      </c>
      <c r="E9" s="5">
        <f t="shared" si="0"/>
        <v>1.16137566137566</v>
      </c>
      <c r="F9" s="1" t="s">
        <v>233</v>
      </c>
      <c r="G9" s="51">
        <v>56195</v>
      </c>
      <c r="H9" s="22">
        <v>70442</v>
      </c>
      <c r="I9" s="22">
        <v>68786</v>
      </c>
      <c r="J9" s="60">
        <f t="shared" si="1"/>
        <v>0.976491297805287</v>
      </c>
      <c r="K9" s="42" t="s">
        <v>366</v>
      </c>
      <c r="L9" s="22">
        <v>1500</v>
      </c>
      <c r="M9" s="22">
        <v>250</v>
      </c>
      <c r="N9" s="51">
        <v>643</v>
      </c>
      <c r="O9" s="5">
        <f t="shared" si="2"/>
        <v>2.572</v>
      </c>
    </row>
    <row r="10" ht="16.5" customHeight="1" spans="1:15">
      <c r="A10" s="1" t="s">
        <v>301</v>
      </c>
      <c r="B10" s="51">
        <v>29800</v>
      </c>
      <c r="C10" s="51">
        <v>21100</v>
      </c>
      <c r="D10" s="51">
        <v>20930</v>
      </c>
      <c r="E10" s="5">
        <f t="shared" si="0"/>
        <v>0.991943127962085</v>
      </c>
      <c r="F10" s="1" t="s">
        <v>235</v>
      </c>
      <c r="G10" s="51">
        <v>2234</v>
      </c>
      <c r="H10" s="51">
        <v>2646</v>
      </c>
      <c r="I10" s="22">
        <v>2636</v>
      </c>
      <c r="J10" s="60">
        <f t="shared" si="1"/>
        <v>0.996220710506425</v>
      </c>
      <c r="K10" s="42" t="s">
        <v>367</v>
      </c>
      <c r="L10" s="22"/>
      <c r="M10" s="22">
        <v>90</v>
      </c>
      <c r="N10" s="51">
        <v>126</v>
      </c>
      <c r="O10" s="5">
        <f t="shared" si="2"/>
        <v>1.4</v>
      </c>
    </row>
    <row r="11" ht="16.5" customHeight="1" spans="1:15">
      <c r="A11" s="1" t="s">
        <v>30</v>
      </c>
      <c r="B11" s="51">
        <v>12300</v>
      </c>
      <c r="C11" s="51">
        <v>8667</v>
      </c>
      <c r="D11" s="51">
        <v>9857</v>
      </c>
      <c r="E11" s="5">
        <f t="shared" si="0"/>
        <v>1.13730241144571</v>
      </c>
      <c r="F11" s="1" t="s">
        <v>237</v>
      </c>
      <c r="G11" s="51">
        <v>1515</v>
      </c>
      <c r="H11" s="51">
        <v>3056</v>
      </c>
      <c r="I11" s="22">
        <v>3053</v>
      </c>
      <c r="J11" s="60">
        <f t="shared" si="1"/>
        <v>0.99901832460733</v>
      </c>
      <c r="K11" s="42" t="s">
        <v>368</v>
      </c>
      <c r="L11" s="22">
        <v>400</v>
      </c>
      <c r="M11" s="22">
        <v>445</v>
      </c>
      <c r="N11" s="51">
        <v>530</v>
      </c>
      <c r="O11" s="5">
        <f t="shared" si="2"/>
        <v>1.19101123595506</v>
      </c>
    </row>
    <row r="12" ht="16.5" customHeight="1" spans="1:15">
      <c r="A12" s="1" t="s">
        <v>33</v>
      </c>
      <c r="B12" s="51">
        <v>3900</v>
      </c>
      <c r="C12" s="51">
        <v>3300</v>
      </c>
      <c r="D12" s="51">
        <v>3780</v>
      </c>
      <c r="E12" s="5">
        <f t="shared" si="0"/>
        <v>1.14545454545455</v>
      </c>
      <c r="F12" s="1" t="s">
        <v>239</v>
      </c>
      <c r="G12" s="51">
        <v>6184</v>
      </c>
      <c r="H12" s="51">
        <v>22143</v>
      </c>
      <c r="I12" s="22">
        <v>22047</v>
      </c>
      <c r="J12" s="60">
        <f t="shared" si="1"/>
        <v>0.995664544099715</v>
      </c>
      <c r="K12" s="42" t="s">
        <v>369</v>
      </c>
      <c r="L12" s="22">
        <v>300</v>
      </c>
      <c r="M12" s="22">
        <v>400</v>
      </c>
      <c r="N12" s="51">
        <v>392</v>
      </c>
      <c r="O12" s="5">
        <f t="shared" si="2"/>
        <v>0.98</v>
      </c>
    </row>
    <row r="13" ht="16.5" customHeight="1" spans="1:15">
      <c r="A13" s="1" t="s">
        <v>36</v>
      </c>
      <c r="B13" s="68">
        <v>2600</v>
      </c>
      <c r="C13" s="68">
        <v>2100</v>
      </c>
      <c r="D13" s="51">
        <v>2306</v>
      </c>
      <c r="E13" s="5">
        <f t="shared" si="0"/>
        <v>1.09809523809524</v>
      </c>
      <c r="F13" s="1" t="s">
        <v>273</v>
      </c>
      <c r="G13" s="51">
        <v>17965</v>
      </c>
      <c r="H13" s="51">
        <v>38425</v>
      </c>
      <c r="I13" s="22">
        <v>38195</v>
      </c>
      <c r="J13" s="61">
        <f t="shared" si="1"/>
        <v>0.994014313597918</v>
      </c>
      <c r="K13" s="42" t="s">
        <v>370</v>
      </c>
      <c r="L13" s="22"/>
      <c r="M13" s="22">
        <v>500</v>
      </c>
      <c r="N13" s="51">
        <v>399</v>
      </c>
      <c r="O13" s="5">
        <f t="shared" si="2"/>
        <v>0.798</v>
      </c>
    </row>
    <row r="14" ht="16.5" customHeight="1" spans="1:15">
      <c r="A14" s="1" t="s">
        <v>39</v>
      </c>
      <c r="B14" s="68">
        <v>4100</v>
      </c>
      <c r="C14" s="68">
        <v>3320</v>
      </c>
      <c r="D14" s="51">
        <v>3101</v>
      </c>
      <c r="E14" s="5">
        <f t="shared" si="0"/>
        <v>0.934036144578313</v>
      </c>
      <c r="F14" s="1" t="s">
        <v>241</v>
      </c>
      <c r="G14" s="51">
        <v>423</v>
      </c>
      <c r="H14" s="51">
        <v>11504</v>
      </c>
      <c r="I14" s="22">
        <v>10635</v>
      </c>
      <c r="J14" s="60">
        <f t="shared" si="1"/>
        <v>0.924461057023644</v>
      </c>
      <c r="K14" s="21" t="s">
        <v>32</v>
      </c>
      <c r="L14" s="22"/>
      <c r="M14" s="22"/>
      <c r="N14" s="19">
        <v>13937</v>
      </c>
      <c r="O14" s="4"/>
    </row>
    <row r="15" ht="16.5" customHeight="1" spans="1:15">
      <c r="A15" s="1" t="s">
        <v>42</v>
      </c>
      <c r="B15" s="68">
        <v>1900</v>
      </c>
      <c r="C15" s="68">
        <v>1540</v>
      </c>
      <c r="D15" s="51">
        <v>1540</v>
      </c>
      <c r="E15" s="5">
        <f t="shared" si="0"/>
        <v>1</v>
      </c>
      <c r="F15" s="1" t="s">
        <v>274</v>
      </c>
      <c r="G15" s="51">
        <v>1827</v>
      </c>
      <c r="H15" s="51">
        <v>6904</v>
      </c>
      <c r="I15" s="22">
        <v>6560</v>
      </c>
      <c r="J15" s="60">
        <f t="shared" si="1"/>
        <v>0.950173812282735</v>
      </c>
      <c r="K15" s="21" t="s">
        <v>35</v>
      </c>
      <c r="L15" s="19"/>
      <c r="M15" s="19"/>
      <c r="N15" s="19">
        <v>7606</v>
      </c>
      <c r="O15" s="45"/>
    </row>
    <row r="16" ht="16.5" customHeight="1" spans="1:15">
      <c r="A16" s="1" t="s">
        <v>45</v>
      </c>
      <c r="B16" s="68">
        <v>2600</v>
      </c>
      <c r="C16" s="68">
        <v>750</v>
      </c>
      <c r="D16" s="51">
        <v>744</v>
      </c>
      <c r="E16" s="5">
        <f t="shared" si="0"/>
        <v>0.992</v>
      </c>
      <c r="F16" s="1" t="s">
        <v>275</v>
      </c>
      <c r="G16" s="51">
        <v>8763</v>
      </c>
      <c r="H16" s="51">
        <v>49093</v>
      </c>
      <c r="I16" s="22">
        <v>47695</v>
      </c>
      <c r="J16" s="60">
        <f t="shared" si="1"/>
        <v>0.971523435112949</v>
      </c>
      <c r="K16" s="21" t="s">
        <v>108</v>
      </c>
      <c r="L16" s="19"/>
      <c r="M16" s="19">
        <v>882</v>
      </c>
      <c r="N16" s="19">
        <v>15882</v>
      </c>
      <c r="O16" s="45"/>
    </row>
    <row r="17" ht="16.5" customHeight="1" spans="1:15">
      <c r="A17" s="1" t="s">
        <v>47</v>
      </c>
      <c r="B17" s="68">
        <v>3500</v>
      </c>
      <c r="C17" s="68">
        <v>2313</v>
      </c>
      <c r="D17" s="51">
        <v>2252</v>
      </c>
      <c r="E17" s="5">
        <f t="shared" si="0"/>
        <v>0.973627323821876</v>
      </c>
      <c r="F17" s="1" t="s">
        <v>244</v>
      </c>
      <c r="G17" s="51">
        <v>1372</v>
      </c>
      <c r="H17" s="22">
        <v>12779</v>
      </c>
      <c r="I17" s="22">
        <v>12779</v>
      </c>
      <c r="J17" s="60">
        <f t="shared" si="1"/>
        <v>1</v>
      </c>
      <c r="K17" s="46" t="s">
        <v>41</v>
      </c>
      <c r="L17" s="19">
        <f>SUM(L15,L14,L5,L16)</f>
        <v>58900</v>
      </c>
      <c r="M17" s="19">
        <f>SUM(M15,M14,M5,M16)</f>
        <v>68082</v>
      </c>
      <c r="N17" s="19">
        <f>SUM(N15,N14,N5,N16)</f>
        <v>107857</v>
      </c>
      <c r="O17" s="4"/>
    </row>
    <row r="18" ht="16.5" customHeight="1" spans="1:15">
      <c r="A18" s="1" t="s">
        <v>50</v>
      </c>
      <c r="B18" s="68">
        <v>3200</v>
      </c>
      <c r="C18" s="68">
        <v>4510</v>
      </c>
      <c r="D18" s="51">
        <v>4546</v>
      </c>
      <c r="E18" s="5">
        <f t="shared" si="0"/>
        <v>1.0079822616408</v>
      </c>
      <c r="F18" s="1" t="s">
        <v>276</v>
      </c>
      <c r="G18" s="51">
        <v>3183</v>
      </c>
      <c r="H18" s="22">
        <v>2569</v>
      </c>
      <c r="I18" s="22">
        <v>2546</v>
      </c>
      <c r="J18" s="60">
        <f t="shared" si="1"/>
        <v>0.991047100038926</v>
      </c>
      <c r="K18" s="90" t="s">
        <v>306</v>
      </c>
      <c r="L18" s="91"/>
      <c r="M18" s="91"/>
      <c r="N18" s="91"/>
      <c r="O18" s="92"/>
    </row>
    <row r="19" ht="16.5" customHeight="1" spans="1:15">
      <c r="A19" s="1" t="s">
        <v>53</v>
      </c>
      <c r="B19" s="68">
        <v>1700</v>
      </c>
      <c r="C19" s="68">
        <v>1300</v>
      </c>
      <c r="D19" s="51">
        <v>1208</v>
      </c>
      <c r="E19" s="5">
        <f t="shared" si="0"/>
        <v>0.929230769230769</v>
      </c>
      <c r="F19" s="1" t="s">
        <v>277</v>
      </c>
      <c r="G19" s="51">
        <v>760</v>
      </c>
      <c r="H19" s="22">
        <v>1665</v>
      </c>
      <c r="I19" s="22">
        <v>1584</v>
      </c>
      <c r="J19" s="60">
        <f t="shared" si="1"/>
        <v>0.951351351351351</v>
      </c>
      <c r="K19" s="15" t="s">
        <v>6</v>
      </c>
      <c r="L19" s="15" t="s">
        <v>129</v>
      </c>
      <c r="M19" s="15" t="s">
        <v>130</v>
      </c>
      <c r="N19" s="15" t="s">
        <v>131</v>
      </c>
      <c r="O19" s="15" t="s">
        <v>132</v>
      </c>
    </row>
    <row r="20" ht="16.5" customHeight="1" spans="1:15">
      <c r="A20" s="1" t="s">
        <v>247</v>
      </c>
      <c r="B20" s="51">
        <v>1800</v>
      </c>
      <c r="C20" s="51">
        <v>1700</v>
      </c>
      <c r="D20" s="51">
        <v>1498</v>
      </c>
      <c r="E20" s="5">
        <f t="shared" si="0"/>
        <v>0.881176470588235</v>
      </c>
      <c r="F20" s="1" t="s">
        <v>278</v>
      </c>
      <c r="G20" s="51">
        <v>912</v>
      </c>
      <c r="H20" s="22">
        <v>5005</v>
      </c>
      <c r="I20" s="22">
        <v>3003</v>
      </c>
      <c r="J20" s="60">
        <f t="shared" si="1"/>
        <v>0.6</v>
      </c>
      <c r="K20" s="16" t="s">
        <v>144</v>
      </c>
      <c r="L20" s="52">
        <f>SUM(L21:L33)</f>
        <v>58900</v>
      </c>
      <c r="M20" s="52">
        <f>SUM(M21:M33)</f>
        <v>88753</v>
      </c>
      <c r="N20" s="52">
        <f>SUM(N21:N33)</f>
        <v>78365</v>
      </c>
      <c r="O20" s="18">
        <f t="shared" ref="O20:O33" si="3">N20/M20</f>
        <v>0.882956069090622</v>
      </c>
    </row>
    <row r="21" ht="16.5" customHeight="1" spans="1:15">
      <c r="A21" s="1" t="s">
        <v>250</v>
      </c>
      <c r="B21" s="51">
        <v>3700</v>
      </c>
      <c r="C21" s="51">
        <v>1000</v>
      </c>
      <c r="D21" s="51">
        <v>1147</v>
      </c>
      <c r="E21" s="5">
        <f t="shared" si="0"/>
        <v>1.147</v>
      </c>
      <c r="F21" s="1" t="s">
        <v>279</v>
      </c>
      <c r="G21" s="51"/>
      <c r="H21" s="22">
        <v>4322</v>
      </c>
      <c r="I21" s="22">
        <v>4322</v>
      </c>
      <c r="J21" s="60">
        <f t="shared" si="1"/>
        <v>1</v>
      </c>
      <c r="K21" s="42" t="s">
        <v>371</v>
      </c>
      <c r="L21" s="22">
        <v>200</v>
      </c>
      <c r="M21" s="22">
        <v>712</v>
      </c>
      <c r="N21" s="51">
        <v>700</v>
      </c>
      <c r="O21" s="5">
        <f t="shared" si="3"/>
        <v>0.98314606741573</v>
      </c>
    </row>
    <row r="22" ht="16.5" customHeight="1" spans="1:15">
      <c r="A22" s="21" t="s">
        <v>68</v>
      </c>
      <c r="B22" s="52">
        <f>SUM(B23,B28:B32)</f>
        <v>37000</v>
      </c>
      <c r="C22" s="52">
        <f>SUM(C23,C28:C32)</f>
        <v>37900</v>
      </c>
      <c r="D22" s="52">
        <f>SUM(D23,D28:D32)</f>
        <v>42060</v>
      </c>
      <c r="E22" s="18">
        <f t="shared" si="0"/>
        <v>1.10976253298153</v>
      </c>
      <c r="F22" s="1" t="s">
        <v>281</v>
      </c>
      <c r="G22" s="51">
        <v>1449</v>
      </c>
      <c r="H22" s="22">
        <v>2775</v>
      </c>
      <c r="I22" s="22">
        <v>2775</v>
      </c>
      <c r="J22" s="60">
        <f t="shared" si="1"/>
        <v>1</v>
      </c>
      <c r="K22" s="81" t="s">
        <v>372</v>
      </c>
      <c r="L22" s="22"/>
      <c r="M22" s="22">
        <v>741</v>
      </c>
      <c r="N22" s="51">
        <v>705</v>
      </c>
      <c r="O22" s="5">
        <f t="shared" si="3"/>
        <v>0.951417004048583</v>
      </c>
    </row>
    <row r="23" ht="16.5" customHeight="1" spans="1:15">
      <c r="A23" s="21" t="s">
        <v>71</v>
      </c>
      <c r="B23" s="52">
        <v>5065</v>
      </c>
      <c r="C23" s="52">
        <v>4990</v>
      </c>
      <c r="D23" s="52">
        <v>6348</v>
      </c>
      <c r="E23" s="18">
        <f t="shared" si="0"/>
        <v>1.27214428857715</v>
      </c>
      <c r="F23" s="1" t="s">
        <v>255</v>
      </c>
      <c r="G23" s="51"/>
      <c r="H23" s="22">
        <v>647</v>
      </c>
      <c r="I23" s="22">
        <v>647</v>
      </c>
      <c r="J23" s="60">
        <f t="shared" si="1"/>
        <v>1</v>
      </c>
      <c r="K23" s="81" t="s">
        <v>373</v>
      </c>
      <c r="L23" s="22">
        <v>55800</v>
      </c>
      <c r="M23" s="22">
        <v>70074</v>
      </c>
      <c r="N23" s="51">
        <v>65917</v>
      </c>
      <c r="O23" s="5">
        <f t="shared" si="3"/>
        <v>0.940676998601478</v>
      </c>
    </row>
    <row r="24" ht="16.5" customHeight="1" spans="1:15">
      <c r="A24" s="1" t="s">
        <v>320</v>
      </c>
      <c r="B24" s="51">
        <v>125</v>
      </c>
      <c r="C24" s="51">
        <v>125</v>
      </c>
      <c r="D24" s="51">
        <v>143</v>
      </c>
      <c r="E24" s="5">
        <f t="shared" si="0"/>
        <v>1.144</v>
      </c>
      <c r="F24" s="1" t="s">
        <v>257</v>
      </c>
      <c r="G24" s="51">
        <v>14580</v>
      </c>
      <c r="H24" s="22">
        <v>7287</v>
      </c>
      <c r="I24" s="22">
        <v>76</v>
      </c>
      <c r="J24" s="80">
        <f t="shared" si="1"/>
        <v>0.0104295320433649</v>
      </c>
      <c r="K24" s="42" t="s">
        <v>254</v>
      </c>
      <c r="L24" s="22">
        <v>700</v>
      </c>
      <c r="M24" s="22">
        <v>566</v>
      </c>
      <c r="N24" s="51">
        <v>566</v>
      </c>
      <c r="O24" s="5">
        <f t="shared" si="3"/>
        <v>1</v>
      </c>
    </row>
    <row r="25" ht="16.5" customHeight="1" spans="1:15">
      <c r="A25" s="1" t="s">
        <v>310</v>
      </c>
      <c r="B25" s="51">
        <v>210</v>
      </c>
      <c r="C25" s="51">
        <v>210</v>
      </c>
      <c r="D25" s="51">
        <v>237</v>
      </c>
      <c r="E25" s="5">
        <f t="shared" si="0"/>
        <v>1.12857142857143</v>
      </c>
      <c r="F25" s="26" t="s">
        <v>78</v>
      </c>
      <c r="G25" s="69">
        <f>SUM(G26:G27)</f>
        <v>1700</v>
      </c>
      <c r="H25" s="69">
        <f>SUM(H26:H27)</f>
        <v>1700</v>
      </c>
      <c r="I25" s="69">
        <f>SUM(I26:I27)</f>
        <v>3155</v>
      </c>
      <c r="J25" s="5"/>
      <c r="K25" s="81" t="s">
        <v>374</v>
      </c>
      <c r="L25" s="22"/>
      <c r="M25" s="22">
        <v>9788</v>
      </c>
      <c r="N25" s="51">
        <v>4531</v>
      </c>
      <c r="O25" s="5">
        <f t="shared" si="3"/>
        <v>0.462913771965672</v>
      </c>
    </row>
    <row r="26" ht="16.5" customHeight="1" spans="1:15">
      <c r="A26" s="1" t="s">
        <v>312</v>
      </c>
      <c r="B26" s="51">
        <v>2000</v>
      </c>
      <c r="C26" s="51">
        <v>1800</v>
      </c>
      <c r="D26" s="51">
        <v>2248</v>
      </c>
      <c r="E26" s="5">
        <f t="shared" si="0"/>
        <v>1.24888888888889</v>
      </c>
      <c r="F26" s="1" t="s">
        <v>81</v>
      </c>
      <c r="G26" s="51">
        <v>417</v>
      </c>
      <c r="H26" s="22">
        <v>417</v>
      </c>
      <c r="I26" s="22"/>
      <c r="J26" s="5"/>
      <c r="K26" s="42" t="s">
        <v>375</v>
      </c>
      <c r="L26" s="22">
        <v>1500</v>
      </c>
      <c r="M26" s="22">
        <v>1415</v>
      </c>
      <c r="N26" s="51">
        <v>1222</v>
      </c>
      <c r="O26" s="5">
        <f t="shared" si="3"/>
        <v>0.863604240282686</v>
      </c>
    </row>
    <row r="27" ht="16.5" customHeight="1" spans="1:15">
      <c r="A27" s="25" t="s">
        <v>345</v>
      </c>
      <c r="B27" s="51">
        <v>120</v>
      </c>
      <c r="C27" s="51">
        <v>700</v>
      </c>
      <c r="D27" s="51">
        <v>1067</v>
      </c>
      <c r="E27" s="5">
        <f t="shared" si="0"/>
        <v>1.52428571428571</v>
      </c>
      <c r="F27" s="1" t="s">
        <v>84</v>
      </c>
      <c r="G27" s="71">
        <v>1283</v>
      </c>
      <c r="H27" s="22">
        <v>1283</v>
      </c>
      <c r="I27" s="22">
        <v>3155</v>
      </c>
      <c r="J27" s="5"/>
      <c r="K27" s="42" t="s">
        <v>376</v>
      </c>
      <c r="L27" s="22"/>
      <c r="M27" s="22">
        <v>399</v>
      </c>
      <c r="N27" s="51">
        <v>312</v>
      </c>
      <c r="O27" s="5">
        <f t="shared" si="3"/>
        <v>0.781954887218045</v>
      </c>
    </row>
    <row r="28" ht="16.5" customHeight="1" spans="1:15">
      <c r="A28" s="1" t="s">
        <v>77</v>
      </c>
      <c r="B28" s="4">
        <v>9400</v>
      </c>
      <c r="C28" s="51">
        <v>9200</v>
      </c>
      <c r="D28" s="51">
        <v>11264</v>
      </c>
      <c r="E28" s="5">
        <f t="shared" si="0"/>
        <v>1.22434782608696</v>
      </c>
      <c r="F28" s="26" t="s">
        <v>87</v>
      </c>
      <c r="G28" s="72"/>
      <c r="H28" s="22"/>
      <c r="I28" s="19">
        <v>249667</v>
      </c>
      <c r="J28" s="5"/>
      <c r="K28" s="42" t="s">
        <v>377</v>
      </c>
      <c r="L28" s="22"/>
      <c r="M28" s="22">
        <v>261</v>
      </c>
      <c r="N28" s="51">
        <v>261</v>
      </c>
      <c r="O28" s="5">
        <f t="shared" si="3"/>
        <v>1</v>
      </c>
    </row>
    <row r="29" ht="16.5" customHeight="1" spans="1:15">
      <c r="A29" s="1" t="s">
        <v>80</v>
      </c>
      <c r="B29" s="4">
        <v>3500</v>
      </c>
      <c r="C29" s="51">
        <v>3500</v>
      </c>
      <c r="D29" s="51">
        <v>3790</v>
      </c>
      <c r="E29" s="5">
        <f t="shared" si="0"/>
        <v>1.08285714285714</v>
      </c>
      <c r="F29" s="26" t="s">
        <v>90</v>
      </c>
      <c r="G29" s="72"/>
      <c r="H29" s="22"/>
      <c r="I29" s="19">
        <v>8565</v>
      </c>
      <c r="J29" s="5"/>
      <c r="K29" s="42" t="s">
        <v>378</v>
      </c>
      <c r="L29" s="22" t="s">
        <v>379</v>
      </c>
      <c r="M29" s="22">
        <v>213</v>
      </c>
      <c r="N29" s="51">
        <v>175</v>
      </c>
      <c r="O29" s="5">
        <f t="shared" si="3"/>
        <v>0.821596244131455</v>
      </c>
    </row>
    <row r="30" ht="16.5" customHeight="1" spans="1:15">
      <c r="A30" s="1" t="s">
        <v>155</v>
      </c>
      <c r="B30" s="4">
        <v>15655</v>
      </c>
      <c r="C30" s="51">
        <v>9050</v>
      </c>
      <c r="D30" s="51">
        <v>8993</v>
      </c>
      <c r="E30" s="5">
        <f t="shared" si="0"/>
        <v>0.993701657458564</v>
      </c>
      <c r="F30" s="21" t="s">
        <v>264</v>
      </c>
      <c r="G30" s="52"/>
      <c r="H30" s="22"/>
      <c r="I30" s="19">
        <v>15991</v>
      </c>
      <c r="J30" s="5"/>
      <c r="K30" s="81" t="s">
        <v>380</v>
      </c>
      <c r="L30" s="22"/>
      <c r="M30" s="22">
        <v>671</v>
      </c>
      <c r="N30" s="51">
        <v>671</v>
      </c>
      <c r="O30" s="5">
        <f t="shared" si="3"/>
        <v>1</v>
      </c>
    </row>
    <row r="31" ht="16.5" customHeight="1" spans="1:15">
      <c r="A31" s="1" t="s">
        <v>86</v>
      </c>
      <c r="B31" s="4">
        <v>330</v>
      </c>
      <c r="C31" s="51">
        <v>650</v>
      </c>
      <c r="D31" s="51">
        <v>686</v>
      </c>
      <c r="E31" s="5">
        <f t="shared" si="0"/>
        <v>1.05538461538462</v>
      </c>
      <c r="F31" s="1" t="s">
        <v>100</v>
      </c>
      <c r="G31" s="51"/>
      <c r="H31" s="22"/>
      <c r="I31" s="22">
        <v>15991</v>
      </c>
      <c r="J31" s="5"/>
      <c r="K31" s="42" t="s">
        <v>381</v>
      </c>
      <c r="L31" s="22">
        <v>300</v>
      </c>
      <c r="M31" s="22">
        <v>2976</v>
      </c>
      <c r="N31" s="51">
        <v>2690</v>
      </c>
      <c r="O31" s="5">
        <f t="shared" si="3"/>
        <v>0.903897849462366</v>
      </c>
    </row>
    <row r="32" ht="16.5" customHeight="1" spans="1:15">
      <c r="A32" s="1" t="s">
        <v>92</v>
      </c>
      <c r="B32" s="4">
        <v>3050</v>
      </c>
      <c r="C32" s="51">
        <v>10510</v>
      </c>
      <c r="D32" s="51">
        <v>10979</v>
      </c>
      <c r="E32" s="5">
        <f t="shared" si="0"/>
        <v>1.04462416745956</v>
      </c>
      <c r="F32" s="21" t="s">
        <v>103</v>
      </c>
      <c r="G32" s="52">
        <f>SUM(G5,G25,G28:G30)</f>
        <v>148200</v>
      </c>
      <c r="H32" s="52">
        <f>SUM(H5,H25,H28:H30)</f>
        <v>277240</v>
      </c>
      <c r="I32" s="52">
        <f>SUM(I5,I25,I28:I30)</f>
        <v>536927</v>
      </c>
      <c r="J32" s="4"/>
      <c r="K32" s="42" t="s">
        <v>321</v>
      </c>
      <c r="L32" s="22">
        <v>400</v>
      </c>
      <c r="M32" s="22">
        <v>920</v>
      </c>
      <c r="N32" s="51">
        <v>598</v>
      </c>
      <c r="O32" s="5">
        <f t="shared" si="3"/>
        <v>0.65</v>
      </c>
    </row>
    <row r="33" ht="16.5" customHeight="1" spans="1:15">
      <c r="A33" s="28" t="s">
        <v>94</v>
      </c>
      <c r="B33" s="52">
        <f>SUM(B34:B36)</f>
        <v>26000</v>
      </c>
      <c r="C33" s="52">
        <f>SUM(C34:C36)</f>
        <v>33690</v>
      </c>
      <c r="D33" s="52">
        <f>SUM(D34:D36)</f>
        <v>148519</v>
      </c>
      <c r="E33" s="18"/>
      <c r="F33" s="21"/>
      <c r="G33" s="17"/>
      <c r="H33" s="17"/>
      <c r="I33" s="17"/>
      <c r="J33" s="4"/>
      <c r="K33" s="42" t="s">
        <v>382</v>
      </c>
      <c r="L33" s="22"/>
      <c r="M33" s="22">
        <v>17</v>
      </c>
      <c r="N33" s="51">
        <v>17</v>
      </c>
      <c r="O33" s="5">
        <f t="shared" si="3"/>
        <v>1</v>
      </c>
    </row>
    <row r="34" ht="16.5" customHeight="1" spans="1:15">
      <c r="A34" s="29" t="s">
        <v>96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16" t="s">
        <v>82</v>
      </c>
      <c r="L34" s="22"/>
      <c r="M34" s="22"/>
      <c r="N34" s="41">
        <v>4104</v>
      </c>
      <c r="O34" s="5"/>
    </row>
    <row r="35" ht="16.5" customHeight="1" spans="1:15">
      <c r="A35" s="29" t="s">
        <v>99</v>
      </c>
      <c r="B35" s="51">
        <v>19082</v>
      </c>
      <c r="C35" s="51">
        <v>26772</v>
      </c>
      <c r="D35" s="51">
        <v>76235</v>
      </c>
      <c r="E35" s="5"/>
      <c r="F35" s="21"/>
      <c r="G35" s="17"/>
      <c r="H35" s="17"/>
      <c r="I35" s="17"/>
      <c r="J35" s="4"/>
      <c r="K35" s="16" t="s">
        <v>87</v>
      </c>
      <c r="L35" s="22"/>
      <c r="M35" s="22"/>
      <c r="N35" s="41">
        <v>15000</v>
      </c>
      <c r="O35" s="5"/>
    </row>
    <row r="36" ht="16.5" customHeight="1" spans="1:15">
      <c r="A36" s="29" t="s">
        <v>102</v>
      </c>
      <c r="B36" s="51"/>
      <c r="C36" s="51"/>
      <c r="D36" s="51">
        <v>64585</v>
      </c>
      <c r="E36" s="5"/>
      <c r="F36" s="30" t="s">
        <v>355</v>
      </c>
      <c r="G36" s="31"/>
      <c r="H36" s="31"/>
      <c r="I36" s="31"/>
      <c r="J36" s="48"/>
      <c r="K36" s="21" t="s">
        <v>88</v>
      </c>
      <c r="L36" s="22"/>
      <c r="M36" s="22"/>
      <c r="N36" s="52">
        <v>10388</v>
      </c>
      <c r="O36" s="4"/>
    </row>
    <row r="37" ht="16.5" customHeight="1" spans="1:15">
      <c r="A37" s="33" t="s">
        <v>105</v>
      </c>
      <c r="B37" s="72"/>
      <c r="C37" s="52">
        <v>5925</v>
      </c>
      <c r="D37" s="52">
        <v>16792</v>
      </c>
      <c r="E37" s="45"/>
      <c r="F37" s="15" t="s">
        <v>6</v>
      </c>
      <c r="G37" s="4" t="s">
        <v>129</v>
      </c>
      <c r="H37" s="4" t="s">
        <v>130</v>
      </c>
      <c r="I37" s="4" t="s">
        <v>131</v>
      </c>
      <c r="J37" s="4" t="s">
        <v>132</v>
      </c>
      <c r="K37" s="21" t="s">
        <v>91</v>
      </c>
      <c r="L37" s="19">
        <f>SUM(L20,L36:L36)</f>
        <v>58900</v>
      </c>
      <c r="M37" s="22"/>
      <c r="N37" s="19">
        <f>SUM(N20,N34:N36)</f>
        <v>107857</v>
      </c>
      <c r="O37" s="4"/>
    </row>
    <row r="38" ht="16.5" customHeight="1" spans="1:15">
      <c r="A38" s="33" t="s">
        <v>108</v>
      </c>
      <c r="B38" s="86"/>
      <c r="C38" s="52">
        <v>8418</v>
      </c>
      <c r="D38" s="52">
        <v>257518</v>
      </c>
      <c r="E38" s="1"/>
      <c r="F38" s="21" t="s">
        <v>383</v>
      </c>
      <c r="G38" s="85">
        <f>B5</f>
        <v>122200</v>
      </c>
      <c r="H38" s="85">
        <f>C5</f>
        <v>101500</v>
      </c>
      <c r="I38" s="85">
        <f>D5</f>
        <v>106835</v>
      </c>
      <c r="J38" s="18">
        <f t="shared" ref="J38:J44" si="4">I38/H38</f>
        <v>1.05256157635468</v>
      </c>
      <c r="K38" s="93" t="s">
        <v>98</v>
      </c>
      <c r="L38" s="94"/>
      <c r="M38" s="94"/>
      <c r="N38" s="94"/>
      <c r="O38" s="95"/>
    </row>
    <row r="39" ht="16.5" customHeight="1" spans="1:15">
      <c r="A39" s="87" t="s">
        <v>110</v>
      </c>
      <c r="B39" s="51"/>
      <c r="C39" s="52">
        <v>667</v>
      </c>
      <c r="D39" s="52">
        <v>667</v>
      </c>
      <c r="E39" s="5"/>
      <c r="F39" s="34" t="s">
        <v>359</v>
      </c>
      <c r="G39" s="85">
        <f>SUM(G40:G43)</f>
        <v>58999.5</v>
      </c>
      <c r="H39" s="85">
        <f>SUM(H40:H43)</f>
        <v>48500</v>
      </c>
      <c r="I39" s="85">
        <f>SUM(I40:I43)</f>
        <v>49662.5</v>
      </c>
      <c r="J39" s="18">
        <f t="shared" si="4"/>
        <v>1.02396907216495</v>
      </c>
      <c r="K39" s="21" t="s">
        <v>104</v>
      </c>
      <c r="L39" s="45">
        <v>78</v>
      </c>
      <c r="M39" s="45">
        <v>78</v>
      </c>
      <c r="N39" s="45">
        <v>88</v>
      </c>
      <c r="O39" s="18">
        <f>N39/M39</f>
        <v>1.12820512820513</v>
      </c>
    </row>
    <row r="40" ht="16.5" customHeight="1" spans="1:15">
      <c r="A40" s="33" t="s">
        <v>112</v>
      </c>
      <c r="B40" s="51"/>
      <c r="C40" s="51"/>
      <c r="D40" s="52">
        <v>6596</v>
      </c>
      <c r="E40" s="5"/>
      <c r="F40" s="35" t="s">
        <v>361</v>
      </c>
      <c r="G40" s="51">
        <f>B8*3</f>
        <v>34461</v>
      </c>
      <c r="H40" s="51">
        <f>C8*3</f>
        <v>30330</v>
      </c>
      <c r="I40" s="51">
        <f>D8*3+1</f>
        <v>29014</v>
      </c>
      <c r="J40" s="5">
        <f t="shared" si="4"/>
        <v>0.956610616551269</v>
      </c>
      <c r="K40" s="21" t="s">
        <v>109</v>
      </c>
      <c r="L40" s="45">
        <v>78</v>
      </c>
      <c r="M40" s="45">
        <v>78</v>
      </c>
      <c r="N40" s="45">
        <v>88</v>
      </c>
      <c r="O40" s="18">
        <f>N40/M40</f>
        <v>1.12820512820513</v>
      </c>
    </row>
    <row r="41" ht="16.5" customHeight="1" spans="1:15">
      <c r="A41" s="33"/>
      <c r="B41" s="51"/>
      <c r="C41" s="51"/>
      <c r="D41" s="52"/>
      <c r="E41" s="5"/>
      <c r="F41" s="35" t="s">
        <v>117</v>
      </c>
      <c r="G41" s="51">
        <f>B11*1.5-0.5</f>
        <v>18449.5</v>
      </c>
      <c r="H41" s="51">
        <f>C11*1.5-0.5</f>
        <v>13000</v>
      </c>
      <c r="I41" s="51">
        <f>D11*1.5</f>
        <v>14785.5</v>
      </c>
      <c r="J41" s="5">
        <f t="shared" si="4"/>
        <v>1.13734615384615</v>
      </c>
      <c r="K41" s="93" t="s">
        <v>116</v>
      </c>
      <c r="L41" s="94"/>
      <c r="M41" s="94"/>
      <c r="N41" s="94"/>
      <c r="O41" s="95"/>
    </row>
    <row r="42" ht="16.5" customHeight="1" spans="1:15">
      <c r="A42" s="33"/>
      <c r="B42" s="51"/>
      <c r="C42" s="51"/>
      <c r="D42" s="52"/>
      <c r="E42" s="5"/>
      <c r="F42" s="35" t="s">
        <v>118</v>
      </c>
      <c r="G42" s="51">
        <f>B12*1.5</f>
        <v>5850</v>
      </c>
      <c r="H42" s="51">
        <f>C12*1.5</f>
        <v>4950</v>
      </c>
      <c r="I42" s="51">
        <f>D12*1.5</f>
        <v>5670</v>
      </c>
      <c r="J42" s="5">
        <f t="shared" si="4"/>
        <v>1.14545454545455</v>
      </c>
      <c r="K42" s="21" t="s">
        <v>119</v>
      </c>
      <c r="L42" s="45">
        <v>34591</v>
      </c>
      <c r="M42" s="66">
        <v>36000</v>
      </c>
      <c r="N42" s="21">
        <v>37523</v>
      </c>
      <c r="O42" s="18">
        <f>N42/M42</f>
        <v>1.04230555555556</v>
      </c>
    </row>
    <row r="43" ht="17.25" customHeight="1" spans="1:15">
      <c r="A43" s="33"/>
      <c r="B43" s="51"/>
      <c r="C43" s="51"/>
      <c r="D43" s="52"/>
      <c r="E43" s="5"/>
      <c r="F43" s="35" t="s">
        <v>120</v>
      </c>
      <c r="G43" s="51">
        <v>239</v>
      </c>
      <c r="H43" s="51">
        <v>220</v>
      </c>
      <c r="I43" s="51">
        <v>193</v>
      </c>
      <c r="J43" s="5">
        <f t="shared" si="4"/>
        <v>0.877272727272727</v>
      </c>
      <c r="K43" s="21" t="s">
        <v>121</v>
      </c>
      <c r="L43" s="96">
        <v>27550</v>
      </c>
      <c r="M43" s="66">
        <v>27550</v>
      </c>
      <c r="N43" s="21">
        <v>25398</v>
      </c>
      <c r="O43" s="18">
        <f>N43/M43</f>
        <v>0.921887477313975</v>
      </c>
    </row>
    <row r="44" ht="19.5" customHeight="1" spans="1:15">
      <c r="A44" s="28" t="s">
        <v>124</v>
      </c>
      <c r="B44" s="52">
        <f>SUM(B5,B33,B37:B38)</f>
        <v>148200</v>
      </c>
      <c r="C44" s="52"/>
      <c r="D44" s="52">
        <f>SUM(D5,D33,D37:D40)</f>
        <v>536927</v>
      </c>
      <c r="E44" s="5"/>
      <c r="F44" s="36" t="s">
        <v>363</v>
      </c>
      <c r="G44" s="85">
        <f>SUM(G38:G39)</f>
        <v>181199.5</v>
      </c>
      <c r="H44" s="85">
        <f>SUM(H38:H39)</f>
        <v>150000</v>
      </c>
      <c r="I44" s="85">
        <f>SUM(I38:I39)</f>
        <v>156497.5</v>
      </c>
      <c r="J44" s="18">
        <f t="shared" si="4"/>
        <v>1.04331666666667</v>
      </c>
      <c r="K44" s="21" t="s">
        <v>384</v>
      </c>
      <c r="L44" s="21">
        <f>L42-L43</f>
        <v>7041</v>
      </c>
      <c r="M44" s="21">
        <f>M42-M43</f>
        <v>8450</v>
      </c>
      <c r="N44" s="21">
        <f>N42-N43</f>
        <v>12125</v>
      </c>
      <c r="O44" s="18"/>
    </row>
    <row r="45" ht="19.5" customHeight="1" spans="2:2">
      <c r="B45" s="54"/>
    </row>
    <row r="46" ht="21" customHeight="1" spans="1:8">
      <c r="A46" s="37"/>
      <c r="B46" s="37"/>
      <c r="H46" s="38"/>
    </row>
    <row r="47" ht="15.95" customHeight="1"/>
    <row r="48" ht="15.95" customHeight="1"/>
  </sheetData>
  <mergeCells count="8">
    <mergeCell ref="A1:O1"/>
    <mergeCell ref="A3:E3"/>
    <mergeCell ref="F3:J3"/>
    <mergeCell ref="K3:O3"/>
    <mergeCell ref="K18:O18"/>
    <mergeCell ref="F36:J36"/>
    <mergeCell ref="K38:O38"/>
    <mergeCell ref="K41:O41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1" workbookViewId="0">
      <selection activeCell="G37" sqref="G37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385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386</v>
      </c>
      <c r="C4" s="15" t="s">
        <v>328</v>
      </c>
      <c r="D4" s="15" t="s">
        <v>9</v>
      </c>
      <c r="E4" s="15" t="s">
        <v>10</v>
      </c>
      <c r="F4" s="15" t="s">
        <v>6</v>
      </c>
      <c r="G4" s="15" t="s">
        <v>387</v>
      </c>
      <c r="H4" s="15" t="s">
        <v>328</v>
      </c>
      <c r="I4" s="15" t="s">
        <v>11</v>
      </c>
      <c r="J4" s="15" t="s">
        <v>10</v>
      </c>
      <c r="K4" s="15" t="s">
        <v>6</v>
      </c>
      <c r="L4" s="15" t="s">
        <v>386</v>
      </c>
      <c r="M4" s="15" t="s">
        <v>328</v>
      </c>
      <c r="N4" s="15" t="s">
        <v>9</v>
      </c>
      <c r="O4" s="15" t="s">
        <v>10</v>
      </c>
    </row>
    <row r="5" ht="17.25" customHeight="1" spans="1:15">
      <c r="A5" s="21" t="s">
        <v>329</v>
      </c>
      <c r="B5" s="52">
        <f>SUM(B6,B22)</f>
        <v>122168</v>
      </c>
      <c r="C5" s="52">
        <f>SUM(C6,C22)</f>
        <v>112226</v>
      </c>
      <c r="D5" s="52">
        <f t="shared" ref="D5:D21" si="0">C5-B5</f>
        <v>-9942</v>
      </c>
      <c r="E5" s="18">
        <f t="shared" ref="E5:E25" si="1">D5/B5</f>
        <v>-0.0813797393752865</v>
      </c>
      <c r="F5" s="21" t="s">
        <v>330</v>
      </c>
      <c r="G5" s="19">
        <f>SUM(G6:G25)</f>
        <v>212397</v>
      </c>
      <c r="H5" s="19">
        <f>SUM(H6:H25)</f>
        <v>237059</v>
      </c>
      <c r="I5" s="19">
        <f>SUM(I6:I25)</f>
        <v>24662</v>
      </c>
      <c r="J5" s="18">
        <f t="shared" ref="J5:J19" si="2">I5/G5</f>
        <v>0.11611275112172</v>
      </c>
      <c r="K5" s="46" t="s">
        <v>14</v>
      </c>
      <c r="L5" s="52">
        <f>SUM(L6:L16)</f>
        <v>107640</v>
      </c>
      <c r="M5" s="52">
        <f>SUM(M6:M16)</f>
        <v>88465</v>
      </c>
      <c r="N5" s="88">
        <f>SUM(N6:N16)</f>
        <v>-19175</v>
      </c>
      <c r="O5" s="18">
        <f t="shared" ref="O5:O14" si="3">N5/L5</f>
        <v>-0.178140096618357</v>
      </c>
    </row>
    <row r="6" ht="17.25" customHeight="1" spans="1:15">
      <c r="A6" s="21" t="s">
        <v>15</v>
      </c>
      <c r="B6" s="52">
        <f>SUM(B7,B10:B21)</f>
        <v>76682</v>
      </c>
      <c r="C6" s="52">
        <f>SUM(C7,C10:C21)</f>
        <v>69112</v>
      </c>
      <c r="D6" s="52">
        <f>SUM(D7,D10:D21)</f>
        <v>-7570</v>
      </c>
      <c r="E6" s="18">
        <f t="shared" si="1"/>
        <v>-0.0987193865574711</v>
      </c>
      <c r="F6" s="1" t="s">
        <v>228</v>
      </c>
      <c r="G6" s="22">
        <v>33931</v>
      </c>
      <c r="H6" s="22">
        <v>24200</v>
      </c>
      <c r="I6" s="51">
        <f t="shared" ref="I6:I33" si="4">H6-G6</f>
        <v>-9731</v>
      </c>
      <c r="J6" s="5">
        <f t="shared" si="2"/>
        <v>-0.286787893077127</v>
      </c>
      <c r="K6" s="42" t="s">
        <v>331</v>
      </c>
      <c r="L6" s="51">
        <v>241</v>
      </c>
      <c r="M6" s="51">
        <v>258</v>
      </c>
      <c r="N6" s="51">
        <f>M6-L6</f>
        <v>17</v>
      </c>
      <c r="O6" s="5">
        <f t="shared" si="3"/>
        <v>0.0705394190871369</v>
      </c>
    </row>
    <row r="7" ht="17.25" customHeight="1" spans="1:15">
      <c r="A7" s="1" t="s">
        <v>18</v>
      </c>
      <c r="B7" s="51">
        <f>SUM(B8:B9)</f>
        <v>12619</v>
      </c>
      <c r="C7" s="51">
        <f>SUM(C8:C9)</f>
        <v>11944</v>
      </c>
      <c r="D7" s="51">
        <f>SUM(D8:D9)</f>
        <v>-675</v>
      </c>
      <c r="E7" s="5">
        <f t="shared" si="1"/>
        <v>-0.0534907678896901</v>
      </c>
      <c r="F7" s="1" t="s">
        <v>229</v>
      </c>
      <c r="G7" s="22">
        <v>458</v>
      </c>
      <c r="H7" s="22">
        <v>348</v>
      </c>
      <c r="I7" s="51">
        <f t="shared" si="4"/>
        <v>-110</v>
      </c>
      <c r="J7" s="5">
        <f t="shared" si="2"/>
        <v>-0.240174672489083</v>
      </c>
      <c r="K7" s="42" t="s">
        <v>332</v>
      </c>
      <c r="L7" s="51">
        <v>237</v>
      </c>
      <c r="M7" s="51">
        <v>206</v>
      </c>
      <c r="N7" s="51">
        <f t="shared" ref="N7:N19" si="5">M7-L7</f>
        <v>-31</v>
      </c>
      <c r="O7" s="5">
        <f t="shared" si="3"/>
        <v>-0.130801687763713</v>
      </c>
    </row>
    <row r="8" ht="17.25" customHeight="1" spans="1:15">
      <c r="A8" s="1" t="s">
        <v>297</v>
      </c>
      <c r="B8" s="51">
        <v>11897</v>
      </c>
      <c r="C8" s="51">
        <v>10365</v>
      </c>
      <c r="D8" s="51">
        <f t="shared" si="0"/>
        <v>-1532</v>
      </c>
      <c r="E8" s="5">
        <f t="shared" si="1"/>
        <v>-0.128771959317475</v>
      </c>
      <c r="F8" s="1" t="s">
        <v>231</v>
      </c>
      <c r="G8" s="22">
        <v>13158</v>
      </c>
      <c r="H8" s="22">
        <v>12595</v>
      </c>
      <c r="I8" s="51">
        <f t="shared" si="4"/>
        <v>-563</v>
      </c>
      <c r="J8" s="5">
        <f t="shared" si="2"/>
        <v>-0.0427876576987384</v>
      </c>
      <c r="K8" s="42" t="s">
        <v>333</v>
      </c>
      <c r="L8" s="51">
        <v>96543</v>
      </c>
      <c r="M8" s="51">
        <v>81174</v>
      </c>
      <c r="N8" s="51">
        <f t="shared" si="5"/>
        <v>-15369</v>
      </c>
      <c r="O8" s="5">
        <f t="shared" si="3"/>
        <v>-0.159193312824337</v>
      </c>
    </row>
    <row r="9" ht="17.25" customHeight="1" spans="1:15">
      <c r="A9" s="1" t="s">
        <v>299</v>
      </c>
      <c r="B9" s="51">
        <v>722</v>
      </c>
      <c r="C9" s="51">
        <v>1579</v>
      </c>
      <c r="D9" s="51">
        <f t="shared" si="0"/>
        <v>857</v>
      </c>
      <c r="E9" s="5">
        <f t="shared" si="1"/>
        <v>1.18698060941828</v>
      </c>
      <c r="F9" s="1" t="s">
        <v>233</v>
      </c>
      <c r="G9" s="22">
        <v>55218</v>
      </c>
      <c r="H9" s="22">
        <v>59961</v>
      </c>
      <c r="I9" s="51">
        <f t="shared" si="4"/>
        <v>4743</v>
      </c>
      <c r="J9" s="5">
        <f t="shared" si="2"/>
        <v>0.0858959035097251</v>
      </c>
      <c r="K9" s="42" t="s">
        <v>334</v>
      </c>
      <c r="L9" s="51">
        <v>787</v>
      </c>
      <c r="M9" s="51">
        <v>570</v>
      </c>
      <c r="N9" s="51">
        <f t="shared" si="5"/>
        <v>-217</v>
      </c>
      <c r="O9" s="5">
        <f t="shared" si="3"/>
        <v>-0.275730622617535</v>
      </c>
    </row>
    <row r="10" ht="17.25" customHeight="1" spans="1:15">
      <c r="A10" s="1" t="s">
        <v>301</v>
      </c>
      <c r="B10" s="51">
        <v>26496</v>
      </c>
      <c r="C10" s="51">
        <v>25133</v>
      </c>
      <c r="D10" s="51">
        <f t="shared" si="0"/>
        <v>-1363</v>
      </c>
      <c r="E10" s="5">
        <f t="shared" si="1"/>
        <v>-0.0514417270531401</v>
      </c>
      <c r="F10" s="1" t="s">
        <v>235</v>
      </c>
      <c r="G10" s="22">
        <v>2251</v>
      </c>
      <c r="H10" s="22">
        <v>2631</v>
      </c>
      <c r="I10" s="51">
        <f t="shared" si="4"/>
        <v>380</v>
      </c>
      <c r="J10" s="5">
        <f t="shared" si="2"/>
        <v>0.168813860506442</v>
      </c>
      <c r="K10" s="42" t="s">
        <v>388</v>
      </c>
      <c r="L10" s="51">
        <v>5611</v>
      </c>
      <c r="M10" s="51">
        <v>2615</v>
      </c>
      <c r="N10" s="51">
        <f t="shared" si="5"/>
        <v>-2996</v>
      </c>
      <c r="O10" s="5">
        <f t="shared" si="3"/>
        <v>-0.533951167349848</v>
      </c>
    </row>
    <row r="11" ht="17.25" customHeight="1" spans="1:15">
      <c r="A11" s="1" t="s">
        <v>30</v>
      </c>
      <c r="B11" s="51">
        <v>9981</v>
      </c>
      <c r="C11" s="51">
        <v>10288</v>
      </c>
      <c r="D11" s="51">
        <f t="shared" si="0"/>
        <v>307</v>
      </c>
      <c r="E11" s="5">
        <f t="shared" si="1"/>
        <v>0.0307584410379721</v>
      </c>
      <c r="F11" s="1" t="s">
        <v>237</v>
      </c>
      <c r="G11" s="22">
        <v>2896</v>
      </c>
      <c r="H11" s="22">
        <v>2793</v>
      </c>
      <c r="I11" s="51">
        <f t="shared" si="4"/>
        <v>-103</v>
      </c>
      <c r="J11" s="5">
        <f t="shared" si="2"/>
        <v>-0.0355662983425414</v>
      </c>
      <c r="K11" s="42" t="s">
        <v>389</v>
      </c>
      <c r="L11" s="51">
        <v>161</v>
      </c>
      <c r="M11" s="51">
        <v>206</v>
      </c>
      <c r="N11" s="51">
        <f t="shared" si="5"/>
        <v>45</v>
      </c>
      <c r="O11" s="5">
        <f t="shared" si="3"/>
        <v>0.279503105590062</v>
      </c>
    </row>
    <row r="12" ht="17.25" customHeight="1" spans="1:15">
      <c r="A12" s="1" t="s">
        <v>33</v>
      </c>
      <c r="B12" s="51">
        <v>3400</v>
      </c>
      <c r="C12" s="51">
        <v>3859</v>
      </c>
      <c r="D12" s="51">
        <f t="shared" si="0"/>
        <v>459</v>
      </c>
      <c r="E12" s="5">
        <f t="shared" si="1"/>
        <v>0.135</v>
      </c>
      <c r="F12" s="1" t="s">
        <v>239</v>
      </c>
      <c r="G12" s="22">
        <v>14247</v>
      </c>
      <c r="H12" s="22">
        <v>14595</v>
      </c>
      <c r="I12" s="51">
        <f t="shared" si="4"/>
        <v>348</v>
      </c>
      <c r="J12" s="5">
        <f t="shared" si="2"/>
        <v>0.0244261949884186</v>
      </c>
      <c r="K12" s="42" t="s">
        <v>390</v>
      </c>
      <c r="L12" s="51">
        <v>2051</v>
      </c>
      <c r="M12" s="51">
        <v>1471</v>
      </c>
      <c r="N12" s="51">
        <f t="shared" si="5"/>
        <v>-580</v>
      </c>
      <c r="O12" s="5">
        <f t="shared" si="3"/>
        <v>-0.282788883471477</v>
      </c>
    </row>
    <row r="13" ht="17.25" customHeight="1" spans="1:15">
      <c r="A13" s="1" t="s">
        <v>36</v>
      </c>
      <c r="B13" s="51">
        <v>1976</v>
      </c>
      <c r="C13" s="51">
        <v>2115</v>
      </c>
      <c r="D13" s="51">
        <f t="shared" si="0"/>
        <v>139</v>
      </c>
      <c r="E13" s="5">
        <f t="shared" si="1"/>
        <v>0.0703441295546559</v>
      </c>
      <c r="F13" s="1" t="s">
        <v>273</v>
      </c>
      <c r="G13" s="22">
        <v>22162</v>
      </c>
      <c r="H13" s="22">
        <v>33899</v>
      </c>
      <c r="I13" s="51">
        <f t="shared" si="4"/>
        <v>11737</v>
      </c>
      <c r="J13" s="5">
        <f t="shared" si="2"/>
        <v>0.529600216586951</v>
      </c>
      <c r="K13" s="42" t="s">
        <v>391</v>
      </c>
      <c r="L13" s="51">
        <v>280</v>
      </c>
      <c r="M13" s="51">
        <v>374</v>
      </c>
      <c r="N13" s="51">
        <f t="shared" si="5"/>
        <v>94</v>
      </c>
      <c r="O13" s="5">
        <f t="shared" si="3"/>
        <v>0.335714285714286</v>
      </c>
    </row>
    <row r="14" ht="17.25" customHeight="1" spans="1:15">
      <c r="A14" s="1" t="s">
        <v>39</v>
      </c>
      <c r="B14" s="51">
        <v>3435</v>
      </c>
      <c r="C14" s="51">
        <v>3273</v>
      </c>
      <c r="D14" s="51">
        <f t="shared" si="0"/>
        <v>-162</v>
      </c>
      <c r="E14" s="5">
        <f t="shared" si="1"/>
        <v>-0.0471615720524017</v>
      </c>
      <c r="F14" s="1" t="s">
        <v>241</v>
      </c>
      <c r="G14" s="22">
        <v>8182</v>
      </c>
      <c r="H14" s="22">
        <v>18484</v>
      </c>
      <c r="I14" s="51">
        <f t="shared" si="4"/>
        <v>10302</v>
      </c>
      <c r="J14" s="5">
        <f t="shared" si="2"/>
        <v>1.25910535321437</v>
      </c>
      <c r="K14" s="42" t="s">
        <v>392</v>
      </c>
      <c r="L14" s="51">
        <v>1377</v>
      </c>
      <c r="M14" s="51">
        <v>916</v>
      </c>
      <c r="N14" s="51">
        <f t="shared" si="5"/>
        <v>-461</v>
      </c>
      <c r="O14" s="5">
        <f t="shared" si="3"/>
        <v>-0.334785766158315</v>
      </c>
    </row>
    <row r="15" ht="17.25" customHeight="1" spans="1:15">
      <c r="A15" s="1" t="s">
        <v>42</v>
      </c>
      <c r="B15" s="51">
        <v>2121</v>
      </c>
      <c r="C15" s="51">
        <v>1492</v>
      </c>
      <c r="D15" s="51">
        <f t="shared" si="0"/>
        <v>-629</v>
      </c>
      <c r="E15" s="5">
        <f t="shared" si="1"/>
        <v>-0.296558227251297</v>
      </c>
      <c r="F15" s="1" t="s">
        <v>274</v>
      </c>
      <c r="G15" s="22">
        <v>3807</v>
      </c>
      <c r="H15" s="22">
        <v>6923</v>
      </c>
      <c r="I15" s="51">
        <f t="shared" si="4"/>
        <v>3116</v>
      </c>
      <c r="J15" s="5">
        <f t="shared" si="2"/>
        <v>0.818492251116365</v>
      </c>
      <c r="K15" s="42" t="s">
        <v>393</v>
      </c>
      <c r="L15" s="51"/>
      <c r="M15" s="51">
        <v>17</v>
      </c>
      <c r="N15" s="51">
        <f t="shared" si="5"/>
        <v>17</v>
      </c>
      <c r="O15" s="5"/>
    </row>
    <row r="16" ht="17.25" customHeight="1" spans="1:15">
      <c r="A16" s="1" t="s">
        <v>45</v>
      </c>
      <c r="B16" s="51">
        <v>901</v>
      </c>
      <c r="C16" s="51">
        <v>828</v>
      </c>
      <c r="D16" s="51">
        <f t="shared" si="0"/>
        <v>-73</v>
      </c>
      <c r="E16" s="5">
        <f t="shared" si="1"/>
        <v>-0.0810210876803552</v>
      </c>
      <c r="F16" s="1" t="s">
        <v>275</v>
      </c>
      <c r="G16" s="22">
        <v>33109</v>
      </c>
      <c r="H16" s="22">
        <v>40112</v>
      </c>
      <c r="I16" s="51">
        <f t="shared" si="4"/>
        <v>7003</v>
      </c>
      <c r="J16" s="5">
        <f t="shared" si="2"/>
        <v>0.211513485759159</v>
      </c>
      <c r="K16" s="42" t="s">
        <v>394</v>
      </c>
      <c r="L16" s="51">
        <v>352</v>
      </c>
      <c r="M16" s="51">
        <v>658</v>
      </c>
      <c r="N16" s="51">
        <f t="shared" si="5"/>
        <v>306</v>
      </c>
      <c r="O16" s="5">
        <f>N16/L16</f>
        <v>0.869318181818182</v>
      </c>
    </row>
    <row r="17" ht="17.25" customHeight="1" spans="1:15">
      <c r="A17" s="1" t="s">
        <v>47</v>
      </c>
      <c r="B17" s="51">
        <v>3719</v>
      </c>
      <c r="C17" s="51">
        <v>2034</v>
      </c>
      <c r="D17" s="51">
        <f t="shared" si="0"/>
        <v>-1685</v>
      </c>
      <c r="E17" s="5">
        <f t="shared" si="1"/>
        <v>-0.453078784619521</v>
      </c>
      <c r="F17" s="1" t="s">
        <v>244</v>
      </c>
      <c r="G17" s="22">
        <v>6226</v>
      </c>
      <c r="H17" s="22">
        <v>3089</v>
      </c>
      <c r="I17" s="51">
        <f t="shared" si="4"/>
        <v>-3137</v>
      </c>
      <c r="J17" s="5">
        <f t="shared" si="2"/>
        <v>-0.503854802441375</v>
      </c>
      <c r="K17" s="21" t="s">
        <v>32</v>
      </c>
      <c r="L17" s="85">
        <v>9626</v>
      </c>
      <c r="M17" s="85">
        <v>15601</v>
      </c>
      <c r="N17" s="52">
        <f t="shared" si="5"/>
        <v>5975</v>
      </c>
      <c r="O17" s="18">
        <f>N17/L17</f>
        <v>0.620714730937046</v>
      </c>
    </row>
    <row r="18" ht="17.25" customHeight="1" spans="1:15">
      <c r="A18" s="1" t="s">
        <v>50</v>
      </c>
      <c r="B18" s="51">
        <v>3002</v>
      </c>
      <c r="C18" s="51">
        <v>2771</v>
      </c>
      <c r="D18" s="51">
        <f t="shared" si="0"/>
        <v>-231</v>
      </c>
      <c r="E18" s="5">
        <f t="shared" si="1"/>
        <v>-0.0769487008660893</v>
      </c>
      <c r="F18" s="1" t="s">
        <v>276</v>
      </c>
      <c r="G18" s="22">
        <v>8665</v>
      </c>
      <c r="H18" s="22">
        <v>9797</v>
      </c>
      <c r="I18" s="51">
        <f t="shared" si="4"/>
        <v>1132</v>
      </c>
      <c r="J18" s="5">
        <f t="shared" si="2"/>
        <v>0.13064050778996</v>
      </c>
      <c r="K18" s="21" t="s">
        <v>35</v>
      </c>
      <c r="L18" s="85">
        <v>7137</v>
      </c>
      <c r="M18" s="85">
        <v>7267</v>
      </c>
      <c r="N18" s="85">
        <f t="shared" si="5"/>
        <v>130</v>
      </c>
      <c r="O18" s="18">
        <f>N18/L18</f>
        <v>0.0182149362477231</v>
      </c>
    </row>
    <row r="19" ht="17.25" customHeight="1" spans="1:15">
      <c r="A19" s="1" t="s">
        <v>53</v>
      </c>
      <c r="B19" s="51">
        <v>905</v>
      </c>
      <c r="C19" s="51">
        <v>1173</v>
      </c>
      <c r="D19" s="51">
        <f t="shared" si="0"/>
        <v>268</v>
      </c>
      <c r="E19" s="5">
        <f t="shared" si="1"/>
        <v>0.296132596685083</v>
      </c>
      <c r="F19" s="1" t="s">
        <v>277</v>
      </c>
      <c r="G19" s="22">
        <v>2744</v>
      </c>
      <c r="H19" s="22">
        <v>2315</v>
      </c>
      <c r="I19" s="51">
        <f t="shared" si="4"/>
        <v>-429</v>
      </c>
      <c r="J19" s="5">
        <f t="shared" si="2"/>
        <v>-0.15634110787172</v>
      </c>
      <c r="K19" s="46" t="s">
        <v>41</v>
      </c>
      <c r="L19" s="52">
        <f>SUM(L18,L17,L5)</f>
        <v>124403</v>
      </c>
      <c r="M19" s="85">
        <f>SUM(M18,M17,M5)</f>
        <v>111333</v>
      </c>
      <c r="N19" s="89">
        <f t="shared" si="5"/>
        <v>-13070</v>
      </c>
      <c r="O19" s="18">
        <f>N19/L19</f>
        <v>-0.105061775037579</v>
      </c>
    </row>
    <row r="20" ht="17.25" customHeight="1" spans="1:15">
      <c r="A20" s="1" t="s">
        <v>247</v>
      </c>
      <c r="B20" s="51">
        <v>2947</v>
      </c>
      <c r="C20" s="51">
        <v>1232</v>
      </c>
      <c r="D20" s="51">
        <f t="shared" si="0"/>
        <v>-1715</v>
      </c>
      <c r="E20" s="5">
        <f t="shared" si="1"/>
        <v>-0.581947743467934</v>
      </c>
      <c r="F20" s="1" t="s">
        <v>395</v>
      </c>
      <c r="G20" s="22"/>
      <c r="H20" s="22"/>
      <c r="I20" s="51">
        <f t="shared" si="4"/>
        <v>0</v>
      </c>
      <c r="J20" s="5"/>
      <c r="K20" s="12" t="s">
        <v>306</v>
      </c>
      <c r="L20" s="13"/>
      <c r="M20" s="13"/>
      <c r="N20" s="13"/>
      <c r="O20" s="40"/>
    </row>
    <row r="21" ht="17.25" customHeight="1" spans="1:15">
      <c r="A21" s="1" t="s">
        <v>250</v>
      </c>
      <c r="B21" s="51">
        <v>5180</v>
      </c>
      <c r="C21" s="51">
        <v>2970</v>
      </c>
      <c r="D21" s="51">
        <f t="shared" si="0"/>
        <v>-2210</v>
      </c>
      <c r="E21" s="5">
        <f t="shared" si="1"/>
        <v>-0.426640926640927</v>
      </c>
      <c r="F21" s="1" t="s">
        <v>396</v>
      </c>
      <c r="G21" s="22">
        <v>1568</v>
      </c>
      <c r="H21" s="22">
        <v>1608</v>
      </c>
      <c r="I21" s="51">
        <f t="shared" si="4"/>
        <v>40</v>
      </c>
      <c r="J21" s="5">
        <f t="shared" ref="J21:J33" si="6">I21/G21</f>
        <v>0.0255102040816327</v>
      </c>
      <c r="K21" s="15" t="s">
        <v>6</v>
      </c>
      <c r="L21" s="4" t="s">
        <v>387</v>
      </c>
      <c r="M21" s="4" t="s">
        <v>328</v>
      </c>
      <c r="N21" s="4" t="s">
        <v>11</v>
      </c>
      <c r="O21" s="4" t="s">
        <v>10</v>
      </c>
    </row>
    <row r="22" ht="17.25" customHeight="1" spans="1:15">
      <c r="A22" s="21" t="s">
        <v>68</v>
      </c>
      <c r="B22" s="52">
        <f>SUM(B23,B28:B32)</f>
        <v>45486</v>
      </c>
      <c r="C22" s="52">
        <f>SUM(C23,C28:C32)</f>
        <v>43114</v>
      </c>
      <c r="D22" s="52">
        <f>SUM(D23,D28:D32)</f>
        <v>-2372</v>
      </c>
      <c r="E22" s="18">
        <f t="shared" si="1"/>
        <v>-0.0521479136437585</v>
      </c>
      <c r="F22" s="1" t="s">
        <v>63</v>
      </c>
      <c r="G22" s="22">
        <v>2288</v>
      </c>
      <c r="H22" s="22">
        <v>1979</v>
      </c>
      <c r="I22" s="51">
        <f t="shared" si="4"/>
        <v>-309</v>
      </c>
      <c r="J22" s="5">
        <f t="shared" si="6"/>
        <v>-0.135052447552448</v>
      </c>
      <c r="K22" s="46" t="s">
        <v>49</v>
      </c>
      <c r="L22" s="52">
        <f>SUM(L23:L41)</f>
        <v>116868</v>
      </c>
      <c r="M22" s="52">
        <f>SUM(M23:M41)</f>
        <v>103098</v>
      </c>
      <c r="N22" s="88">
        <f>SUM(N23:N41)</f>
        <v>-13770</v>
      </c>
      <c r="O22" s="18">
        <f t="shared" ref="O22:O33" si="7">N22/L22</f>
        <v>-0.117825238730876</v>
      </c>
    </row>
    <row r="23" ht="17.25" customHeight="1" spans="1:15">
      <c r="A23" s="21" t="s">
        <v>71</v>
      </c>
      <c r="B23" s="52">
        <f>SUM(B24:B27)</f>
        <v>2438</v>
      </c>
      <c r="C23" s="52">
        <f>SUM(C24:C27)</f>
        <v>2948</v>
      </c>
      <c r="D23" s="52">
        <f>SUM(D24:D27)</f>
        <v>510</v>
      </c>
      <c r="E23" s="18">
        <f t="shared" si="1"/>
        <v>0.209187858900738</v>
      </c>
      <c r="F23" s="1" t="s">
        <v>397</v>
      </c>
      <c r="G23" s="22">
        <v>1213</v>
      </c>
      <c r="H23" s="22">
        <v>1505</v>
      </c>
      <c r="I23" s="51">
        <f t="shared" si="4"/>
        <v>292</v>
      </c>
      <c r="J23" s="5">
        <f t="shared" si="6"/>
        <v>0.240725474031327</v>
      </c>
      <c r="K23" s="42" t="s">
        <v>341</v>
      </c>
      <c r="L23" s="51">
        <v>1322</v>
      </c>
      <c r="M23" s="51">
        <v>2517</v>
      </c>
      <c r="N23" s="51">
        <f t="shared" ref="N23:N43" si="8">M23-L23</f>
        <v>1195</v>
      </c>
      <c r="O23" s="5">
        <f t="shared" si="7"/>
        <v>0.90393343419062</v>
      </c>
    </row>
    <row r="24" ht="17.25" customHeight="1" spans="1:15">
      <c r="A24" s="1" t="s">
        <v>398</v>
      </c>
      <c r="B24" s="51">
        <v>135</v>
      </c>
      <c r="C24" s="51">
        <v>142</v>
      </c>
      <c r="D24" s="51">
        <f t="shared" ref="D24:D38" si="9">C24-B24</f>
        <v>7</v>
      </c>
      <c r="E24" s="5">
        <f t="shared" si="1"/>
        <v>0.0518518518518519</v>
      </c>
      <c r="F24" s="1" t="s">
        <v>399</v>
      </c>
      <c r="G24" s="22">
        <v>107</v>
      </c>
      <c r="H24" s="22">
        <v>160</v>
      </c>
      <c r="I24" s="51">
        <f t="shared" si="4"/>
        <v>53</v>
      </c>
      <c r="J24" s="5">
        <f t="shared" si="6"/>
        <v>0.495327102803738</v>
      </c>
      <c r="K24" s="42" t="s">
        <v>342</v>
      </c>
      <c r="L24" s="51">
        <v>47</v>
      </c>
      <c r="M24" s="51">
        <v>103</v>
      </c>
      <c r="N24" s="51">
        <f t="shared" si="8"/>
        <v>56</v>
      </c>
      <c r="O24" s="5">
        <f t="shared" si="7"/>
        <v>1.19148936170213</v>
      </c>
    </row>
    <row r="25" ht="17.25" customHeight="1" spans="1:15">
      <c r="A25" s="1" t="s">
        <v>310</v>
      </c>
      <c r="B25" s="51">
        <v>228</v>
      </c>
      <c r="C25" s="51">
        <v>216</v>
      </c>
      <c r="D25" s="51">
        <f t="shared" si="9"/>
        <v>-12</v>
      </c>
      <c r="E25" s="5">
        <f t="shared" si="1"/>
        <v>-0.0526315789473684</v>
      </c>
      <c r="F25" s="1" t="s">
        <v>213</v>
      </c>
      <c r="G25" s="22">
        <v>167</v>
      </c>
      <c r="H25" s="22">
        <v>65</v>
      </c>
      <c r="I25" s="51">
        <f t="shared" si="4"/>
        <v>-102</v>
      </c>
      <c r="J25" s="5">
        <f t="shared" si="6"/>
        <v>-0.610778443113772</v>
      </c>
      <c r="K25" s="42" t="s">
        <v>343</v>
      </c>
      <c r="L25" s="51">
        <v>608</v>
      </c>
      <c r="M25" s="51">
        <v>552</v>
      </c>
      <c r="N25" s="51">
        <f t="shared" si="8"/>
        <v>-56</v>
      </c>
      <c r="O25" s="5">
        <f t="shared" si="7"/>
        <v>-0.0921052631578947</v>
      </c>
    </row>
    <row r="26" ht="17.25" customHeight="1" spans="1:15">
      <c r="A26" s="1" t="s">
        <v>312</v>
      </c>
      <c r="B26" s="51">
        <v>1844</v>
      </c>
      <c r="C26" s="51">
        <v>1778</v>
      </c>
      <c r="D26" s="51">
        <f t="shared" si="9"/>
        <v>-66</v>
      </c>
      <c r="E26" s="5">
        <f t="shared" ref="E26:E38" si="10">D26/B26</f>
        <v>-0.0357917570498915</v>
      </c>
      <c r="F26" s="26" t="s">
        <v>78</v>
      </c>
      <c r="G26" s="69">
        <f>SUM(G27:G28)</f>
        <v>1932</v>
      </c>
      <c r="H26" s="69">
        <f>SUM(H27:H28)</f>
        <v>1918</v>
      </c>
      <c r="I26" s="52">
        <f t="shared" si="4"/>
        <v>-14</v>
      </c>
      <c r="J26" s="18">
        <f t="shared" si="6"/>
        <v>-0.0072463768115942</v>
      </c>
      <c r="K26" s="42" t="s">
        <v>344</v>
      </c>
      <c r="L26" s="51">
        <v>355</v>
      </c>
      <c r="M26" s="51">
        <v>424</v>
      </c>
      <c r="N26" s="51">
        <f t="shared" si="8"/>
        <v>69</v>
      </c>
      <c r="O26" s="5">
        <f t="shared" si="7"/>
        <v>0.194366197183099</v>
      </c>
    </row>
    <row r="27" ht="17.25" customHeight="1" spans="1:15">
      <c r="A27" s="25" t="s">
        <v>345</v>
      </c>
      <c r="B27" s="51">
        <v>231</v>
      </c>
      <c r="C27" s="51">
        <v>812</v>
      </c>
      <c r="D27" s="51">
        <f t="shared" si="9"/>
        <v>581</v>
      </c>
      <c r="E27" s="5">
        <f t="shared" si="10"/>
        <v>2.51515151515151</v>
      </c>
      <c r="F27" s="1" t="s">
        <v>81</v>
      </c>
      <c r="G27" s="22">
        <v>417</v>
      </c>
      <c r="H27" s="22">
        <v>246</v>
      </c>
      <c r="I27" s="51">
        <f t="shared" si="4"/>
        <v>-171</v>
      </c>
      <c r="J27" s="5">
        <f t="shared" si="6"/>
        <v>-0.410071942446043</v>
      </c>
      <c r="K27" s="42" t="s">
        <v>346</v>
      </c>
      <c r="L27" s="51">
        <v>837</v>
      </c>
      <c r="M27" s="51">
        <v>1380</v>
      </c>
      <c r="N27" s="51">
        <f t="shared" si="8"/>
        <v>543</v>
      </c>
      <c r="O27" s="5">
        <f t="shared" si="7"/>
        <v>0.648745519713262</v>
      </c>
    </row>
    <row r="28" ht="17.25" customHeight="1" spans="1:15">
      <c r="A28" s="1" t="s">
        <v>77</v>
      </c>
      <c r="B28" s="51">
        <v>13351</v>
      </c>
      <c r="C28" s="51">
        <v>10948</v>
      </c>
      <c r="D28" s="51">
        <f t="shared" si="9"/>
        <v>-2403</v>
      </c>
      <c r="E28" s="5">
        <f t="shared" si="10"/>
        <v>-0.17998651786383</v>
      </c>
      <c r="F28" s="1" t="s">
        <v>84</v>
      </c>
      <c r="G28" s="22">
        <v>1515</v>
      </c>
      <c r="H28" s="22">
        <v>1672</v>
      </c>
      <c r="I28" s="51">
        <f t="shared" si="4"/>
        <v>157</v>
      </c>
      <c r="J28" s="5">
        <f t="shared" si="6"/>
        <v>0.103630363036304</v>
      </c>
      <c r="K28" s="42" t="s">
        <v>347</v>
      </c>
      <c r="L28" s="51">
        <v>99075</v>
      </c>
      <c r="M28" s="51">
        <v>85164</v>
      </c>
      <c r="N28" s="51">
        <f t="shared" si="8"/>
        <v>-13911</v>
      </c>
      <c r="O28" s="5">
        <f t="shared" si="7"/>
        <v>-0.140408781226344</v>
      </c>
    </row>
    <row r="29" ht="17.25" customHeight="1" spans="1:15">
      <c r="A29" s="1" t="s">
        <v>80</v>
      </c>
      <c r="B29" s="51">
        <v>4162</v>
      </c>
      <c r="C29" s="51">
        <v>4101</v>
      </c>
      <c r="D29" s="51">
        <f t="shared" si="9"/>
        <v>-61</v>
      </c>
      <c r="E29" s="5">
        <f t="shared" si="10"/>
        <v>-0.0146564151850072</v>
      </c>
      <c r="F29" s="26" t="s">
        <v>400</v>
      </c>
      <c r="G29" s="19">
        <v>1450</v>
      </c>
      <c r="H29" s="19">
        <v>1000</v>
      </c>
      <c r="I29" s="52">
        <f t="shared" si="4"/>
        <v>-450</v>
      </c>
      <c r="J29" s="18">
        <f t="shared" si="6"/>
        <v>-0.310344827586207</v>
      </c>
      <c r="K29" s="42" t="s">
        <v>348</v>
      </c>
      <c r="L29" s="51">
        <v>608</v>
      </c>
      <c r="M29" s="51">
        <v>641</v>
      </c>
      <c r="N29" s="51">
        <f t="shared" si="8"/>
        <v>33</v>
      </c>
      <c r="O29" s="5">
        <f t="shared" si="7"/>
        <v>0.0542763157894737</v>
      </c>
    </row>
    <row r="30" ht="17.25" customHeight="1" spans="1:15">
      <c r="A30" s="1" t="s">
        <v>83</v>
      </c>
      <c r="B30" s="51">
        <v>18413</v>
      </c>
      <c r="C30" s="51">
        <v>15416</v>
      </c>
      <c r="D30" s="51">
        <f t="shared" si="9"/>
        <v>-2997</v>
      </c>
      <c r="E30" s="5">
        <f t="shared" si="10"/>
        <v>-0.162765437462662</v>
      </c>
      <c r="F30" s="26" t="s">
        <v>90</v>
      </c>
      <c r="G30" s="19">
        <v>1640</v>
      </c>
      <c r="H30" s="19">
        <v>667</v>
      </c>
      <c r="I30" s="52">
        <f t="shared" si="4"/>
        <v>-973</v>
      </c>
      <c r="J30" s="18">
        <f t="shared" si="6"/>
        <v>-0.593292682926829</v>
      </c>
      <c r="K30" s="42" t="s">
        <v>401</v>
      </c>
      <c r="L30" s="51">
        <v>5610</v>
      </c>
      <c r="M30" s="51">
        <v>2616</v>
      </c>
      <c r="N30" s="51">
        <f t="shared" si="8"/>
        <v>-2994</v>
      </c>
      <c r="O30" s="5">
        <f t="shared" si="7"/>
        <v>-0.533689839572193</v>
      </c>
    </row>
    <row r="31" ht="17.25" customHeight="1" spans="1:15">
      <c r="A31" s="1" t="s">
        <v>86</v>
      </c>
      <c r="B31" s="51">
        <v>303</v>
      </c>
      <c r="C31" s="51">
        <v>351</v>
      </c>
      <c r="D31" s="51">
        <f t="shared" si="9"/>
        <v>48</v>
      </c>
      <c r="E31" s="5">
        <f t="shared" si="10"/>
        <v>0.158415841584158</v>
      </c>
      <c r="F31" s="21" t="s">
        <v>189</v>
      </c>
      <c r="G31" s="19">
        <v>19950</v>
      </c>
      <c r="H31" s="19">
        <v>16792</v>
      </c>
      <c r="I31" s="52">
        <f t="shared" si="4"/>
        <v>-3158</v>
      </c>
      <c r="J31" s="18">
        <f t="shared" si="6"/>
        <v>-0.158295739348371</v>
      </c>
      <c r="K31" s="42" t="s">
        <v>402</v>
      </c>
      <c r="L31" s="51">
        <v>117</v>
      </c>
      <c r="M31" s="51">
        <v>102</v>
      </c>
      <c r="N31" s="51">
        <f t="shared" si="8"/>
        <v>-15</v>
      </c>
      <c r="O31" s="5">
        <f t="shared" si="7"/>
        <v>-0.128205128205128</v>
      </c>
    </row>
    <row r="32" ht="17.25" customHeight="1" spans="1:15">
      <c r="A32" s="1" t="s">
        <v>92</v>
      </c>
      <c r="B32" s="51">
        <v>6819</v>
      </c>
      <c r="C32" s="51">
        <v>9350</v>
      </c>
      <c r="D32" s="51">
        <f t="shared" si="9"/>
        <v>2531</v>
      </c>
      <c r="E32" s="5">
        <f t="shared" si="10"/>
        <v>0.371168793078164</v>
      </c>
      <c r="F32" s="1" t="s">
        <v>100</v>
      </c>
      <c r="G32" s="22">
        <v>19950</v>
      </c>
      <c r="H32" s="22">
        <v>16792</v>
      </c>
      <c r="I32" s="51">
        <f t="shared" si="4"/>
        <v>-3158</v>
      </c>
      <c r="J32" s="5">
        <f t="shared" si="6"/>
        <v>-0.158295739348371</v>
      </c>
      <c r="K32" s="42" t="s">
        <v>351</v>
      </c>
      <c r="L32" s="51">
        <v>2225</v>
      </c>
      <c r="M32" s="51">
        <v>3287</v>
      </c>
      <c r="N32" s="51">
        <f t="shared" si="8"/>
        <v>1062</v>
      </c>
      <c r="O32" s="5">
        <f t="shared" si="7"/>
        <v>0.477303370786517</v>
      </c>
    </row>
    <row r="33" ht="17.25" customHeight="1" spans="1:15">
      <c r="A33" s="28" t="s">
        <v>94</v>
      </c>
      <c r="B33" s="52">
        <f>SUM(B34:B36)</f>
        <v>94640</v>
      </c>
      <c r="C33" s="52">
        <f>SUM(C34:C36)</f>
        <v>116320</v>
      </c>
      <c r="D33" s="52">
        <f t="shared" si="9"/>
        <v>21680</v>
      </c>
      <c r="E33" s="18">
        <f t="shared" si="10"/>
        <v>0.229078613693998</v>
      </c>
      <c r="F33" s="21" t="s">
        <v>103</v>
      </c>
      <c r="G33" s="52">
        <f>SUM(G5,G26,G29:G31)</f>
        <v>237369</v>
      </c>
      <c r="H33" s="52">
        <f>SUM(H5,H26,H29:H31)</f>
        <v>257436</v>
      </c>
      <c r="I33" s="52">
        <f t="shared" si="4"/>
        <v>20067</v>
      </c>
      <c r="J33" s="18">
        <f t="shared" si="6"/>
        <v>0.0845392616559028</v>
      </c>
      <c r="K33" s="42" t="s">
        <v>352</v>
      </c>
      <c r="L33" s="51">
        <v>2103</v>
      </c>
      <c r="M33" s="51">
        <v>1084</v>
      </c>
      <c r="N33" s="51">
        <f t="shared" si="8"/>
        <v>-1019</v>
      </c>
      <c r="O33" s="5">
        <f t="shared" si="7"/>
        <v>-0.48454588682834</v>
      </c>
    </row>
    <row r="34" ht="17.25" customHeight="1" spans="1:15">
      <c r="A34" s="29" t="s">
        <v>96</v>
      </c>
      <c r="B34" s="51">
        <v>7699</v>
      </c>
      <c r="C34" s="51">
        <v>7699</v>
      </c>
      <c r="D34" s="51">
        <f t="shared" si="9"/>
        <v>0</v>
      </c>
      <c r="E34" s="5">
        <f t="shared" si="10"/>
        <v>0</v>
      </c>
      <c r="F34" s="21"/>
      <c r="G34" s="52"/>
      <c r="H34" s="52"/>
      <c r="I34" s="52"/>
      <c r="J34" s="18"/>
      <c r="K34" s="42" t="s">
        <v>403</v>
      </c>
      <c r="L34" s="51">
        <v>478</v>
      </c>
      <c r="M34" s="51">
        <v>251</v>
      </c>
      <c r="N34" s="51">
        <f t="shared" si="8"/>
        <v>-227</v>
      </c>
      <c r="O34" s="5">
        <f t="shared" ref="O34:O44" si="11">N34/L34</f>
        <v>-0.47489539748954</v>
      </c>
    </row>
    <row r="35" ht="17.25" customHeight="1" spans="1:15">
      <c r="A35" s="29" t="s">
        <v>99</v>
      </c>
      <c r="B35" s="51">
        <v>40324</v>
      </c>
      <c r="C35" s="51">
        <v>47806</v>
      </c>
      <c r="D35" s="51">
        <f t="shared" si="9"/>
        <v>7482</v>
      </c>
      <c r="E35" s="5">
        <f t="shared" si="10"/>
        <v>0.18554706874318</v>
      </c>
      <c r="F35" s="21"/>
      <c r="G35" s="52"/>
      <c r="H35" s="52"/>
      <c r="I35" s="52"/>
      <c r="J35" s="18"/>
      <c r="K35" s="42" t="s">
        <v>404</v>
      </c>
      <c r="L35" s="51">
        <v>890</v>
      </c>
      <c r="M35" s="51">
        <v>898</v>
      </c>
      <c r="N35" s="51">
        <f t="shared" si="8"/>
        <v>8</v>
      </c>
      <c r="O35" s="5">
        <f t="shared" si="11"/>
        <v>0.00898876404494382</v>
      </c>
    </row>
    <row r="36" ht="17.25" customHeight="1" spans="1:15">
      <c r="A36" s="29" t="s">
        <v>102</v>
      </c>
      <c r="B36" s="51">
        <v>46617</v>
      </c>
      <c r="C36" s="51">
        <v>60815</v>
      </c>
      <c r="D36" s="51">
        <f t="shared" si="9"/>
        <v>14198</v>
      </c>
      <c r="E36" s="5">
        <f t="shared" si="10"/>
        <v>0.304567003453676</v>
      </c>
      <c r="F36" s="30" t="s">
        <v>355</v>
      </c>
      <c r="G36" s="31"/>
      <c r="H36" s="31"/>
      <c r="I36" s="31"/>
      <c r="J36" s="48"/>
      <c r="K36" s="42" t="s">
        <v>405</v>
      </c>
      <c r="L36" s="51">
        <v>105</v>
      </c>
      <c r="M36" s="51"/>
      <c r="N36" s="51">
        <f t="shared" si="8"/>
        <v>-105</v>
      </c>
      <c r="O36" s="5">
        <f t="shared" si="11"/>
        <v>-1</v>
      </c>
    </row>
    <row r="37" ht="17.25" customHeight="1" spans="1:15">
      <c r="A37" s="33" t="s">
        <v>105</v>
      </c>
      <c r="B37" s="52">
        <v>16711</v>
      </c>
      <c r="C37" s="52">
        <v>19950</v>
      </c>
      <c r="D37" s="52">
        <f t="shared" si="9"/>
        <v>3239</v>
      </c>
      <c r="E37" s="18">
        <f t="shared" si="10"/>
        <v>0.193824427024116</v>
      </c>
      <c r="F37" s="15" t="s">
        <v>6</v>
      </c>
      <c r="G37" s="15" t="s">
        <v>386</v>
      </c>
      <c r="H37" s="15" t="s">
        <v>328</v>
      </c>
      <c r="I37" s="15" t="s">
        <v>9</v>
      </c>
      <c r="J37" s="15" t="s">
        <v>10</v>
      </c>
      <c r="K37" s="42" t="s">
        <v>406</v>
      </c>
      <c r="L37" s="51">
        <v>620</v>
      </c>
      <c r="M37" s="51">
        <v>1110</v>
      </c>
      <c r="N37" s="51">
        <f t="shared" si="8"/>
        <v>490</v>
      </c>
      <c r="O37" s="5">
        <f t="shared" si="11"/>
        <v>0.790322580645161</v>
      </c>
    </row>
    <row r="38" ht="17.25" customHeight="1" spans="1:15">
      <c r="A38" s="33" t="s">
        <v>407</v>
      </c>
      <c r="B38" s="52">
        <v>2400</v>
      </c>
      <c r="C38" s="52">
        <v>6300</v>
      </c>
      <c r="D38" s="52">
        <f t="shared" si="9"/>
        <v>3900</v>
      </c>
      <c r="E38" s="18">
        <f t="shared" si="10"/>
        <v>1.625</v>
      </c>
      <c r="F38" s="21" t="s">
        <v>329</v>
      </c>
      <c r="G38" s="52">
        <f>B5</f>
        <v>122168</v>
      </c>
      <c r="H38" s="52">
        <f>C5</f>
        <v>112226</v>
      </c>
      <c r="I38" s="52">
        <f>H38-G38</f>
        <v>-9942</v>
      </c>
      <c r="J38" s="18">
        <f t="shared" ref="J38:J44" si="12">I38/G38</f>
        <v>-0.0813797393752865</v>
      </c>
      <c r="K38" s="42" t="s">
        <v>408</v>
      </c>
      <c r="L38" s="51">
        <v>78</v>
      </c>
      <c r="M38" s="51">
        <v>71</v>
      </c>
      <c r="N38" s="51">
        <f t="shared" si="8"/>
        <v>-7</v>
      </c>
      <c r="O38" s="5">
        <f t="shared" si="11"/>
        <v>-0.0897435897435897</v>
      </c>
    </row>
    <row r="39" ht="17.25" customHeight="1" spans="1:15">
      <c r="A39" s="87" t="s">
        <v>110</v>
      </c>
      <c r="B39" s="52"/>
      <c r="C39" s="52">
        <v>1640</v>
      </c>
      <c r="D39" s="52"/>
      <c r="E39" s="18"/>
      <c r="F39" s="34" t="s">
        <v>359</v>
      </c>
      <c r="G39" s="52">
        <f>SUM(G40:G43)</f>
        <v>55967.5</v>
      </c>
      <c r="H39" s="52">
        <f>SUM(H40:H43)</f>
        <v>52528.5</v>
      </c>
      <c r="I39" s="85">
        <f>SUM(I40:I43)</f>
        <v>-3439</v>
      </c>
      <c r="J39" s="18">
        <f t="shared" si="12"/>
        <v>-0.0614463751284227</v>
      </c>
      <c r="K39" s="42" t="s">
        <v>409</v>
      </c>
      <c r="L39" s="51">
        <v>475</v>
      </c>
      <c r="M39" s="51">
        <v>670</v>
      </c>
      <c r="N39" s="51">
        <f t="shared" si="8"/>
        <v>195</v>
      </c>
      <c r="O39" s="5">
        <f t="shared" si="11"/>
        <v>0.410526315789474</v>
      </c>
    </row>
    <row r="40" ht="17.25" customHeight="1" spans="1:15">
      <c r="A40" s="33" t="s">
        <v>112</v>
      </c>
      <c r="B40" s="52">
        <v>1450</v>
      </c>
      <c r="C40" s="52">
        <v>1000</v>
      </c>
      <c r="D40" s="52"/>
      <c r="E40" s="18"/>
      <c r="F40" s="35" t="s">
        <v>361</v>
      </c>
      <c r="G40" s="51">
        <f>B8*3</f>
        <v>35691</v>
      </c>
      <c r="H40" s="51">
        <f>C8*3+1</f>
        <v>31096</v>
      </c>
      <c r="I40" s="51">
        <f>H40-G40</f>
        <v>-4595</v>
      </c>
      <c r="J40" s="5">
        <f t="shared" si="12"/>
        <v>-0.128743941049564</v>
      </c>
      <c r="K40" s="42" t="s">
        <v>410</v>
      </c>
      <c r="L40" s="51">
        <v>871</v>
      </c>
      <c r="M40" s="51">
        <v>1680</v>
      </c>
      <c r="N40" s="51">
        <f t="shared" si="8"/>
        <v>809</v>
      </c>
      <c r="O40" s="5">
        <f t="shared" si="11"/>
        <v>0.928817451205511</v>
      </c>
    </row>
    <row r="41" ht="17.25" customHeight="1" spans="1:15">
      <c r="A41" s="33"/>
      <c r="B41" s="52"/>
      <c r="C41" s="52"/>
      <c r="D41" s="52"/>
      <c r="E41" s="18"/>
      <c r="F41" s="35" t="s">
        <v>117</v>
      </c>
      <c r="G41" s="51">
        <f>B11*1.5</f>
        <v>14971.5</v>
      </c>
      <c r="H41" s="51">
        <f>C11*1.5</f>
        <v>15432</v>
      </c>
      <c r="I41" s="51">
        <f>H41-G41</f>
        <v>460.5</v>
      </c>
      <c r="J41" s="5">
        <f t="shared" si="12"/>
        <v>0.0307584410379721</v>
      </c>
      <c r="K41" s="42" t="s">
        <v>411</v>
      </c>
      <c r="L41" s="51">
        <v>444</v>
      </c>
      <c r="M41" s="51">
        <v>548</v>
      </c>
      <c r="N41" s="51">
        <f t="shared" si="8"/>
        <v>104</v>
      </c>
      <c r="O41" s="5">
        <f t="shared" si="11"/>
        <v>0.234234234234234</v>
      </c>
    </row>
    <row r="42" ht="17.25" customHeight="1" spans="1:15">
      <c r="A42" s="33"/>
      <c r="B42" s="52"/>
      <c r="C42" s="52"/>
      <c r="D42" s="52"/>
      <c r="E42" s="18"/>
      <c r="F42" s="35" t="s">
        <v>118</v>
      </c>
      <c r="G42" s="51">
        <f>B12*1.5</f>
        <v>5100</v>
      </c>
      <c r="H42" s="51">
        <f>C12*1.5</f>
        <v>5788.5</v>
      </c>
      <c r="I42" s="51">
        <f>H42-G42</f>
        <v>688.5</v>
      </c>
      <c r="J42" s="5">
        <f t="shared" si="12"/>
        <v>0.135</v>
      </c>
      <c r="K42" s="21" t="s">
        <v>412</v>
      </c>
      <c r="L42" s="41">
        <v>268</v>
      </c>
      <c r="M42" s="41">
        <v>629</v>
      </c>
      <c r="N42" s="41">
        <f t="shared" si="8"/>
        <v>361</v>
      </c>
      <c r="O42" s="18">
        <f t="shared" si="11"/>
        <v>1.34701492537313</v>
      </c>
    </row>
    <row r="43" ht="18" customHeight="1" spans="1:15">
      <c r="A43" s="1"/>
      <c r="B43" s="51"/>
      <c r="C43" s="51"/>
      <c r="D43" s="51"/>
      <c r="E43" s="18"/>
      <c r="F43" s="35" t="s">
        <v>314</v>
      </c>
      <c r="G43" s="51">
        <v>205</v>
      </c>
      <c r="H43" s="51">
        <v>212</v>
      </c>
      <c r="I43" s="51">
        <f>H43-G43</f>
        <v>7</v>
      </c>
      <c r="J43" s="5">
        <f t="shared" si="12"/>
        <v>0.0341463414634146</v>
      </c>
      <c r="K43" s="21" t="s">
        <v>268</v>
      </c>
      <c r="L43" s="52">
        <v>7267</v>
      </c>
      <c r="M43" s="52">
        <v>7606</v>
      </c>
      <c r="N43" s="52">
        <f t="shared" si="8"/>
        <v>339</v>
      </c>
      <c r="O43" s="18">
        <f t="shared" si="11"/>
        <v>0.0466492362735654</v>
      </c>
    </row>
    <row r="44" ht="18" customHeight="1" spans="1:15">
      <c r="A44" s="28" t="s">
        <v>124</v>
      </c>
      <c r="B44" s="52">
        <f>SUM(B5,B33,B37:B40)</f>
        <v>237369</v>
      </c>
      <c r="C44" s="52">
        <f>SUM(C5,C33,C37:C40)</f>
        <v>257436</v>
      </c>
      <c r="D44" s="52">
        <f>SUM(D5,D33,D37:D38)</f>
        <v>18877</v>
      </c>
      <c r="E44" s="18">
        <f>D44/B44</f>
        <v>0.0795259701140418</v>
      </c>
      <c r="F44" s="36" t="s">
        <v>363</v>
      </c>
      <c r="G44" s="52">
        <f>SUM(G38:G39)</f>
        <v>178135.5</v>
      </c>
      <c r="H44" s="52">
        <f>SUM(H38:H39)</f>
        <v>164754.5</v>
      </c>
      <c r="I44" s="89">
        <f>SUM(I38:I39)</f>
        <v>-13381</v>
      </c>
      <c r="J44" s="18">
        <f t="shared" si="12"/>
        <v>-0.0751169755607389</v>
      </c>
      <c r="K44" s="21" t="s">
        <v>91</v>
      </c>
      <c r="L44" s="52">
        <f>SUM(L22,L42:L43)</f>
        <v>124403</v>
      </c>
      <c r="M44" s="52">
        <f>SUM(M22,M42:M43)</f>
        <v>111333</v>
      </c>
      <c r="N44" s="88">
        <f>SUM(N22,N42:N43)</f>
        <v>-13070</v>
      </c>
      <c r="O44" s="18">
        <f t="shared" si="11"/>
        <v>-0.105061775037579</v>
      </c>
    </row>
    <row r="45" ht="21" customHeight="1" spans="1:1">
      <c r="A45" t="s">
        <v>413</v>
      </c>
    </row>
    <row r="46" ht="15.95" customHeight="1" spans="1:7">
      <c r="A46" s="37"/>
      <c r="G46" s="38"/>
    </row>
    <row r="47" ht="15.95" customHeight="1"/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opLeftCell="A16" workbookViewId="0">
      <selection activeCell="K49" sqref="K49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414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49" t="s">
        <v>292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329</v>
      </c>
      <c r="B5" s="52">
        <f>SUM(B6,B22)</f>
        <v>133300</v>
      </c>
      <c r="C5" s="52">
        <f>SUM(C6,C22)</f>
        <v>111100</v>
      </c>
      <c r="D5" s="52">
        <f>SUM(D6,D22)</f>
        <v>112226</v>
      </c>
      <c r="E5" s="18">
        <f t="shared" ref="E5:E32" si="0">D5/C5</f>
        <v>1.01013501350135</v>
      </c>
      <c r="F5" s="21" t="s">
        <v>330</v>
      </c>
      <c r="G5" s="19">
        <f>SUM(G6:G24)</f>
        <v>153100</v>
      </c>
      <c r="H5" s="19">
        <f>SUM(H6:H24)</f>
        <v>253851</v>
      </c>
      <c r="I5" s="19">
        <f>SUM(I6:I24)</f>
        <v>237059</v>
      </c>
      <c r="J5" s="18">
        <f t="shared" ref="J5:J24" si="1">I5/H5</f>
        <v>0.93385095981501</v>
      </c>
      <c r="K5" s="16" t="s">
        <v>133</v>
      </c>
      <c r="L5" s="19">
        <f>SUM(L6:L16)</f>
        <v>93800</v>
      </c>
      <c r="M5" s="19">
        <f>SUM(M6:M16)</f>
        <v>94170</v>
      </c>
      <c r="N5" s="19">
        <f>SUM(N6:N16)</f>
        <v>88465</v>
      </c>
      <c r="O5" s="18">
        <f t="shared" ref="O5:O14" si="2">N5/M5</f>
        <v>0.939418073696506</v>
      </c>
    </row>
    <row r="6" ht="16.5" customHeight="1" spans="1:15">
      <c r="A6" s="21" t="s">
        <v>15</v>
      </c>
      <c r="B6" s="52">
        <f>SUM(B7,B10:B21)</f>
        <v>89000</v>
      </c>
      <c r="C6" s="52">
        <f>SUM(C7,C10:C21)</f>
        <v>68800</v>
      </c>
      <c r="D6" s="52">
        <f>SUM(D7,D10:D21)</f>
        <v>69112</v>
      </c>
      <c r="E6" s="18">
        <f t="shared" si="0"/>
        <v>1.00453488372093</v>
      </c>
      <c r="F6" s="1" t="s">
        <v>228</v>
      </c>
      <c r="G6" s="22">
        <v>28938</v>
      </c>
      <c r="H6" s="22">
        <v>24347</v>
      </c>
      <c r="I6" s="22">
        <v>24200</v>
      </c>
      <c r="J6" s="60">
        <f t="shared" si="1"/>
        <v>0.9939622951493</v>
      </c>
      <c r="K6" s="42" t="s">
        <v>331</v>
      </c>
      <c r="L6" s="22">
        <v>300</v>
      </c>
      <c r="M6" s="22">
        <v>260</v>
      </c>
      <c r="N6" s="51">
        <v>258</v>
      </c>
      <c r="O6" s="5">
        <f t="shared" si="2"/>
        <v>0.992307692307692</v>
      </c>
    </row>
    <row r="7" ht="16.5" customHeight="1" spans="1:15">
      <c r="A7" s="1" t="s">
        <v>18</v>
      </c>
      <c r="B7" s="51">
        <f>SUM(B8:B9)</f>
        <v>13760</v>
      </c>
      <c r="C7" s="51">
        <f>SUM(C8:C9)</f>
        <v>11994</v>
      </c>
      <c r="D7" s="51">
        <f>SUM(D8:D9)</f>
        <v>11944</v>
      </c>
      <c r="E7" s="5">
        <f t="shared" si="0"/>
        <v>0.995831248957812</v>
      </c>
      <c r="F7" s="1" t="s">
        <v>229</v>
      </c>
      <c r="G7" s="22">
        <v>261</v>
      </c>
      <c r="H7" s="22">
        <v>429</v>
      </c>
      <c r="I7" s="22">
        <v>348</v>
      </c>
      <c r="J7" s="60">
        <f t="shared" si="1"/>
        <v>0.811188811188811</v>
      </c>
      <c r="K7" s="42" t="s">
        <v>332</v>
      </c>
      <c r="L7" s="22">
        <v>250</v>
      </c>
      <c r="M7" s="22">
        <v>210</v>
      </c>
      <c r="N7" s="51">
        <v>206</v>
      </c>
      <c r="O7" s="5">
        <f t="shared" si="2"/>
        <v>0.980952380952381</v>
      </c>
    </row>
    <row r="8" ht="16.5" customHeight="1" spans="1:15">
      <c r="A8" s="1" t="s">
        <v>297</v>
      </c>
      <c r="B8" s="51">
        <v>13050</v>
      </c>
      <c r="C8" s="51">
        <v>10593</v>
      </c>
      <c r="D8" s="51">
        <v>10365</v>
      </c>
      <c r="E8" s="5">
        <f t="shared" si="0"/>
        <v>0.978476352308128</v>
      </c>
      <c r="F8" s="1" t="s">
        <v>231</v>
      </c>
      <c r="G8" s="51">
        <v>12378</v>
      </c>
      <c r="H8" s="22">
        <v>12861</v>
      </c>
      <c r="I8" s="22">
        <v>12595</v>
      </c>
      <c r="J8" s="60">
        <f t="shared" si="1"/>
        <v>0.979317315916336</v>
      </c>
      <c r="K8" s="42" t="s">
        <v>333</v>
      </c>
      <c r="L8" s="22">
        <v>87080</v>
      </c>
      <c r="M8" s="22">
        <v>87080</v>
      </c>
      <c r="N8" s="51">
        <v>81174</v>
      </c>
      <c r="O8" s="5">
        <f t="shared" si="2"/>
        <v>0.932177308222324</v>
      </c>
    </row>
    <row r="9" ht="16.5" customHeight="1" spans="1:15">
      <c r="A9" s="1" t="s">
        <v>299</v>
      </c>
      <c r="B9" s="51">
        <v>710</v>
      </c>
      <c r="C9" s="51">
        <v>1401</v>
      </c>
      <c r="D9" s="51">
        <v>1579</v>
      </c>
      <c r="E9" s="5">
        <f t="shared" si="0"/>
        <v>1.12705210563883</v>
      </c>
      <c r="F9" s="1" t="s">
        <v>233</v>
      </c>
      <c r="G9" s="51">
        <v>55211</v>
      </c>
      <c r="H9" s="22">
        <v>60718</v>
      </c>
      <c r="I9" s="22">
        <v>59961</v>
      </c>
      <c r="J9" s="60">
        <f t="shared" si="1"/>
        <v>0.987532527421852</v>
      </c>
      <c r="K9" s="42" t="s">
        <v>334</v>
      </c>
      <c r="L9" s="22">
        <v>700</v>
      </c>
      <c r="M9" s="22">
        <v>700</v>
      </c>
      <c r="N9" s="51">
        <v>570</v>
      </c>
      <c r="O9" s="5">
        <f t="shared" si="2"/>
        <v>0.814285714285714</v>
      </c>
    </row>
    <row r="10" ht="16.5" customHeight="1" spans="1:15">
      <c r="A10" s="1" t="s">
        <v>301</v>
      </c>
      <c r="B10" s="51">
        <v>31300</v>
      </c>
      <c r="C10" s="51">
        <v>24990</v>
      </c>
      <c r="D10" s="51">
        <v>25133</v>
      </c>
      <c r="E10" s="5">
        <f t="shared" si="0"/>
        <v>1.00572228891557</v>
      </c>
      <c r="F10" s="1" t="s">
        <v>235</v>
      </c>
      <c r="G10" s="51">
        <v>2183</v>
      </c>
      <c r="H10" s="51">
        <v>2673</v>
      </c>
      <c r="I10" s="22">
        <v>2631</v>
      </c>
      <c r="J10" s="60">
        <f t="shared" si="1"/>
        <v>0.984287317620651</v>
      </c>
      <c r="K10" s="42" t="s">
        <v>388</v>
      </c>
      <c r="L10" s="22">
        <v>2700</v>
      </c>
      <c r="M10" s="22">
        <v>2700</v>
      </c>
      <c r="N10" s="51">
        <v>2615</v>
      </c>
      <c r="O10" s="5">
        <f t="shared" si="2"/>
        <v>0.968518518518519</v>
      </c>
    </row>
    <row r="11" ht="16.5" customHeight="1" spans="1:15">
      <c r="A11" s="1" t="s">
        <v>30</v>
      </c>
      <c r="B11" s="51">
        <v>13207</v>
      </c>
      <c r="C11" s="51">
        <v>10553</v>
      </c>
      <c r="D11" s="51">
        <v>10288</v>
      </c>
      <c r="E11" s="5">
        <f t="shared" si="0"/>
        <v>0.974888657253861</v>
      </c>
      <c r="F11" s="1" t="s">
        <v>237</v>
      </c>
      <c r="G11" s="51">
        <v>2393</v>
      </c>
      <c r="H11" s="51">
        <v>2839</v>
      </c>
      <c r="I11" s="22">
        <v>2793</v>
      </c>
      <c r="J11" s="60">
        <f t="shared" si="1"/>
        <v>0.983797111659035</v>
      </c>
      <c r="K11" s="42" t="s">
        <v>389</v>
      </c>
      <c r="L11" s="22">
        <v>220</v>
      </c>
      <c r="M11" s="22">
        <v>220</v>
      </c>
      <c r="N11" s="51">
        <v>206</v>
      </c>
      <c r="O11" s="5">
        <f t="shared" si="2"/>
        <v>0.936363636363636</v>
      </c>
    </row>
    <row r="12" ht="16.5" customHeight="1" spans="1:15">
      <c r="A12" s="1" t="s">
        <v>33</v>
      </c>
      <c r="B12" s="51">
        <v>4000</v>
      </c>
      <c r="C12" s="51">
        <v>3853</v>
      </c>
      <c r="D12" s="51">
        <v>3859</v>
      </c>
      <c r="E12" s="5">
        <f t="shared" si="0"/>
        <v>1.00155722813392</v>
      </c>
      <c r="F12" s="1" t="s">
        <v>239</v>
      </c>
      <c r="G12" s="51">
        <v>6023</v>
      </c>
      <c r="H12" s="51">
        <v>14962</v>
      </c>
      <c r="I12" s="22">
        <v>14595</v>
      </c>
      <c r="J12" s="60">
        <f t="shared" si="1"/>
        <v>0.975471193690683</v>
      </c>
      <c r="K12" s="42" t="s">
        <v>390</v>
      </c>
      <c r="L12" s="22">
        <v>1500</v>
      </c>
      <c r="M12" s="22">
        <v>1500</v>
      </c>
      <c r="N12" s="51">
        <v>1471</v>
      </c>
      <c r="O12" s="5">
        <f t="shared" si="2"/>
        <v>0.980666666666667</v>
      </c>
    </row>
    <row r="13" ht="16.5" customHeight="1" spans="1:15">
      <c r="A13" s="1" t="s">
        <v>36</v>
      </c>
      <c r="B13" s="68">
        <v>2000</v>
      </c>
      <c r="C13" s="68">
        <v>1700</v>
      </c>
      <c r="D13" s="51">
        <v>2115</v>
      </c>
      <c r="E13" s="5">
        <f t="shared" si="0"/>
        <v>1.24411764705882</v>
      </c>
      <c r="F13" s="1" t="s">
        <v>273</v>
      </c>
      <c r="G13" s="51">
        <v>12148</v>
      </c>
      <c r="H13" s="51">
        <v>34323</v>
      </c>
      <c r="I13" s="22">
        <v>33899</v>
      </c>
      <c r="J13" s="61">
        <f t="shared" si="1"/>
        <v>0.987646767473706</v>
      </c>
      <c r="K13" s="42" t="s">
        <v>391</v>
      </c>
      <c r="L13" s="22">
        <v>250</v>
      </c>
      <c r="M13" s="22">
        <v>200</v>
      </c>
      <c r="N13" s="51">
        <v>374</v>
      </c>
      <c r="O13" s="5">
        <f t="shared" si="2"/>
        <v>1.87</v>
      </c>
    </row>
    <row r="14" ht="16.5" customHeight="1" spans="1:15">
      <c r="A14" s="1" t="s">
        <v>39</v>
      </c>
      <c r="B14" s="68">
        <v>3500</v>
      </c>
      <c r="C14" s="68">
        <v>3200</v>
      </c>
      <c r="D14" s="51">
        <v>3273</v>
      </c>
      <c r="E14" s="5">
        <f t="shared" si="0"/>
        <v>1.0228125</v>
      </c>
      <c r="F14" s="1" t="s">
        <v>241</v>
      </c>
      <c r="G14" s="51">
        <v>1477</v>
      </c>
      <c r="H14" s="51">
        <v>20407</v>
      </c>
      <c r="I14" s="22">
        <v>18484</v>
      </c>
      <c r="J14" s="60">
        <f t="shared" si="1"/>
        <v>0.905767628754839</v>
      </c>
      <c r="K14" s="42" t="s">
        <v>392</v>
      </c>
      <c r="L14" s="22">
        <v>500</v>
      </c>
      <c r="M14" s="22">
        <v>700</v>
      </c>
      <c r="N14" s="51">
        <v>916</v>
      </c>
      <c r="O14" s="5">
        <f t="shared" si="2"/>
        <v>1.30857142857143</v>
      </c>
    </row>
    <row r="15" ht="16.5" customHeight="1" spans="1:15">
      <c r="A15" s="1" t="s">
        <v>42</v>
      </c>
      <c r="B15" s="68">
        <v>3000</v>
      </c>
      <c r="C15" s="68">
        <v>1560</v>
      </c>
      <c r="D15" s="51">
        <v>1492</v>
      </c>
      <c r="E15" s="5">
        <f t="shared" si="0"/>
        <v>0.956410256410256</v>
      </c>
      <c r="F15" s="1" t="s">
        <v>274</v>
      </c>
      <c r="G15" s="51">
        <v>2761</v>
      </c>
      <c r="H15" s="51">
        <v>7088</v>
      </c>
      <c r="I15" s="22">
        <v>6923</v>
      </c>
      <c r="J15" s="60">
        <f t="shared" si="1"/>
        <v>0.976721218961625</v>
      </c>
      <c r="K15" s="42" t="s">
        <v>393</v>
      </c>
      <c r="L15" s="22"/>
      <c r="M15" s="22"/>
      <c r="N15" s="51">
        <v>17</v>
      </c>
      <c r="O15" s="5"/>
    </row>
    <row r="16" ht="16.5" customHeight="1" spans="1:15">
      <c r="A16" s="1" t="s">
        <v>45</v>
      </c>
      <c r="B16" s="68">
        <v>1000</v>
      </c>
      <c r="C16" s="68">
        <v>850</v>
      </c>
      <c r="D16" s="51">
        <v>828</v>
      </c>
      <c r="E16" s="5">
        <f t="shared" si="0"/>
        <v>0.974117647058824</v>
      </c>
      <c r="F16" s="1" t="s">
        <v>275</v>
      </c>
      <c r="G16" s="51">
        <v>12144</v>
      </c>
      <c r="H16" s="51">
        <v>44792</v>
      </c>
      <c r="I16" s="22">
        <v>40112</v>
      </c>
      <c r="J16" s="60">
        <f t="shared" si="1"/>
        <v>0.895517056617253</v>
      </c>
      <c r="K16" s="42" t="s">
        <v>415</v>
      </c>
      <c r="L16" s="22">
        <v>300</v>
      </c>
      <c r="M16" s="22">
        <v>600</v>
      </c>
      <c r="N16" s="51">
        <v>658</v>
      </c>
      <c r="O16" s="5">
        <f>N16/M16</f>
        <v>1.09666666666667</v>
      </c>
    </row>
    <row r="17" ht="16.5" customHeight="1" spans="1:15">
      <c r="A17" s="1" t="s">
        <v>47</v>
      </c>
      <c r="B17" s="68">
        <v>4200</v>
      </c>
      <c r="C17" s="68">
        <v>2150</v>
      </c>
      <c r="D17" s="51">
        <v>2034</v>
      </c>
      <c r="E17" s="5">
        <f t="shared" si="0"/>
        <v>0.946046511627907</v>
      </c>
      <c r="F17" s="1" t="s">
        <v>244</v>
      </c>
      <c r="G17" s="51">
        <v>1564</v>
      </c>
      <c r="H17" s="22">
        <v>4630</v>
      </c>
      <c r="I17" s="22">
        <v>3089</v>
      </c>
      <c r="J17" s="60">
        <f t="shared" si="1"/>
        <v>0.667170626349892</v>
      </c>
      <c r="K17" s="21" t="s">
        <v>32</v>
      </c>
      <c r="L17" s="22"/>
      <c r="M17" s="22"/>
      <c r="N17" s="19">
        <v>15601</v>
      </c>
      <c r="O17" s="4"/>
    </row>
    <row r="18" ht="16.5" customHeight="1" spans="1:15">
      <c r="A18" s="1" t="s">
        <v>50</v>
      </c>
      <c r="B18" s="68">
        <v>3600</v>
      </c>
      <c r="C18" s="68">
        <v>2540</v>
      </c>
      <c r="D18" s="51">
        <v>2771</v>
      </c>
      <c r="E18" s="5">
        <f t="shared" si="0"/>
        <v>1.09094488188976</v>
      </c>
      <c r="F18" s="1" t="s">
        <v>276</v>
      </c>
      <c r="G18" s="51">
        <v>8881</v>
      </c>
      <c r="H18" s="22">
        <v>9869</v>
      </c>
      <c r="I18" s="22">
        <v>9797</v>
      </c>
      <c r="J18" s="60">
        <f t="shared" si="1"/>
        <v>0.99270442800689</v>
      </c>
      <c r="K18" s="21" t="s">
        <v>35</v>
      </c>
      <c r="L18" s="19"/>
      <c r="M18" s="19"/>
      <c r="N18" s="19">
        <v>7267</v>
      </c>
      <c r="O18" s="45"/>
    </row>
    <row r="19" ht="16.5" customHeight="1" spans="1:15">
      <c r="A19" s="1" t="s">
        <v>53</v>
      </c>
      <c r="B19" s="68">
        <v>933</v>
      </c>
      <c r="C19" s="68">
        <v>1110</v>
      </c>
      <c r="D19" s="51">
        <v>1173</v>
      </c>
      <c r="E19" s="5">
        <f t="shared" si="0"/>
        <v>1.05675675675676</v>
      </c>
      <c r="F19" s="1" t="s">
        <v>277</v>
      </c>
      <c r="G19" s="51">
        <v>896</v>
      </c>
      <c r="H19" s="22">
        <v>2359</v>
      </c>
      <c r="I19" s="22">
        <v>2315</v>
      </c>
      <c r="J19" s="60">
        <f t="shared" si="1"/>
        <v>0.981348028825774</v>
      </c>
      <c r="K19" s="46" t="s">
        <v>41</v>
      </c>
      <c r="L19" s="19">
        <f>SUM(L18,L17,L5)</f>
        <v>93800</v>
      </c>
      <c r="M19" s="19">
        <f>SUM(M18,M17,M5)</f>
        <v>94170</v>
      </c>
      <c r="N19" s="19">
        <f>SUM(N18,N17,N5)</f>
        <v>111333</v>
      </c>
      <c r="O19" s="4"/>
    </row>
    <row r="20" ht="16.5" customHeight="1" spans="1:15">
      <c r="A20" s="1" t="s">
        <v>247</v>
      </c>
      <c r="B20" s="51">
        <v>3000</v>
      </c>
      <c r="C20" s="51">
        <v>1300</v>
      </c>
      <c r="D20" s="51">
        <v>1232</v>
      </c>
      <c r="E20" s="5">
        <f t="shared" si="0"/>
        <v>0.947692307692308</v>
      </c>
      <c r="F20" s="1" t="s">
        <v>278</v>
      </c>
      <c r="G20" s="51">
        <v>1039</v>
      </c>
      <c r="H20" s="22">
        <v>2880</v>
      </c>
      <c r="I20" s="22">
        <v>1608</v>
      </c>
      <c r="J20" s="60">
        <f t="shared" si="1"/>
        <v>0.558333333333333</v>
      </c>
      <c r="K20" s="49" t="s">
        <v>306</v>
      </c>
      <c r="L20" s="49"/>
      <c r="M20" s="49"/>
      <c r="N20" s="49"/>
      <c r="O20" s="49"/>
    </row>
    <row r="21" ht="16.5" customHeight="1" spans="1:15">
      <c r="A21" s="1" t="s">
        <v>250</v>
      </c>
      <c r="B21" s="51">
        <v>5500</v>
      </c>
      <c r="C21" s="51">
        <v>3000</v>
      </c>
      <c r="D21" s="51">
        <v>2970</v>
      </c>
      <c r="E21" s="5">
        <f t="shared" si="0"/>
        <v>0.99</v>
      </c>
      <c r="F21" s="1" t="s">
        <v>279</v>
      </c>
      <c r="G21" s="51"/>
      <c r="H21" s="22">
        <v>2027</v>
      </c>
      <c r="I21" s="22">
        <v>1979</v>
      </c>
      <c r="J21" s="60">
        <f t="shared" si="1"/>
        <v>0.976319684262457</v>
      </c>
      <c r="K21" s="15" t="s">
        <v>6</v>
      </c>
      <c r="L21" s="15" t="s">
        <v>129</v>
      </c>
      <c r="M21" s="15" t="s">
        <v>130</v>
      </c>
      <c r="N21" s="15" t="s">
        <v>131</v>
      </c>
      <c r="O21" s="15" t="s">
        <v>132</v>
      </c>
    </row>
    <row r="22" ht="16.5" customHeight="1" spans="1:15">
      <c r="A22" s="21" t="s">
        <v>68</v>
      </c>
      <c r="B22" s="52">
        <f>SUM(B23,B28:B32)</f>
        <v>44300</v>
      </c>
      <c r="C22" s="52">
        <f>SUM(C23,C28:C32)</f>
        <v>42300</v>
      </c>
      <c r="D22" s="52">
        <f>SUM(D23,D28:D32)</f>
        <v>43114</v>
      </c>
      <c r="E22" s="18">
        <f t="shared" si="0"/>
        <v>1.01924349881797</v>
      </c>
      <c r="F22" s="1" t="s">
        <v>281</v>
      </c>
      <c r="G22" s="51">
        <v>1463</v>
      </c>
      <c r="H22" s="22">
        <v>1519</v>
      </c>
      <c r="I22" s="22">
        <v>1505</v>
      </c>
      <c r="J22" s="60">
        <f t="shared" si="1"/>
        <v>0.990783410138249</v>
      </c>
      <c r="K22" s="16" t="s">
        <v>144</v>
      </c>
      <c r="L22" s="52">
        <f>SUM(L23:L41)</f>
        <v>93800</v>
      </c>
      <c r="M22" s="52">
        <f>SUM(M23:M41)</f>
        <v>110704</v>
      </c>
      <c r="N22" s="52">
        <f>SUM(N23:N41)</f>
        <v>103098</v>
      </c>
      <c r="O22" s="18">
        <f t="shared" ref="O22:O41" si="3">N22/M22</f>
        <v>0.931294262176615</v>
      </c>
    </row>
    <row r="23" ht="16.5" customHeight="1" spans="1:15">
      <c r="A23" s="21" t="s">
        <v>71</v>
      </c>
      <c r="B23" s="52">
        <f>SUM(B24:B27)</f>
        <v>2405</v>
      </c>
      <c r="C23" s="52">
        <f>SUM(C24:C27)</f>
        <v>2835</v>
      </c>
      <c r="D23" s="52">
        <f>SUM(D24:D27)</f>
        <v>2948</v>
      </c>
      <c r="E23" s="18">
        <f t="shared" si="0"/>
        <v>1.03985890652557</v>
      </c>
      <c r="F23" s="1" t="s">
        <v>416</v>
      </c>
      <c r="G23" s="51"/>
      <c r="H23" s="22">
        <v>160</v>
      </c>
      <c r="I23" s="22">
        <v>160</v>
      </c>
      <c r="J23" s="60">
        <f t="shared" si="1"/>
        <v>1</v>
      </c>
      <c r="K23" s="42" t="s">
        <v>341</v>
      </c>
      <c r="L23" s="22"/>
      <c r="M23" s="22">
        <v>2690</v>
      </c>
      <c r="N23" s="51">
        <v>2517</v>
      </c>
      <c r="O23" s="18">
        <f t="shared" si="3"/>
        <v>0.935687732342007</v>
      </c>
    </row>
    <row r="24" ht="16.5" customHeight="1" spans="1:15">
      <c r="A24" s="1" t="s">
        <v>398</v>
      </c>
      <c r="B24" s="51">
        <v>85</v>
      </c>
      <c r="C24" s="51">
        <v>125</v>
      </c>
      <c r="D24" s="51">
        <v>142</v>
      </c>
      <c r="E24" s="5">
        <f t="shared" si="0"/>
        <v>1.136</v>
      </c>
      <c r="F24" s="1" t="s">
        <v>257</v>
      </c>
      <c r="G24" s="51">
        <v>3340</v>
      </c>
      <c r="H24" s="22">
        <v>4968</v>
      </c>
      <c r="I24" s="22">
        <v>65</v>
      </c>
      <c r="J24" s="80">
        <f t="shared" si="1"/>
        <v>0.0130837359098229</v>
      </c>
      <c r="K24" s="42" t="s">
        <v>342</v>
      </c>
      <c r="L24" s="22"/>
      <c r="M24" s="22">
        <v>103</v>
      </c>
      <c r="N24" s="51">
        <v>103</v>
      </c>
      <c r="O24" s="5">
        <f t="shared" si="3"/>
        <v>1</v>
      </c>
    </row>
    <row r="25" ht="16.5" customHeight="1" spans="1:15">
      <c r="A25" s="1" t="s">
        <v>310</v>
      </c>
      <c r="B25" s="51">
        <v>210</v>
      </c>
      <c r="C25" s="51">
        <v>210</v>
      </c>
      <c r="D25" s="51">
        <v>216</v>
      </c>
      <c r="E25" s="5">
        <f t="shared" si="0"/>
        <v>1.02857142857143</v>
      </c>
      <c r="F25" s="26" t="s">
        <v>78</v>
      </c>
      <c r="G25" s="69">
        <f>SUM(G26:G27)</f>
        <v>1200</v>
      </c>
      <c r="H25" s="69">
        <f>SUM(H26:H27)</f>
        <v>1200</v>
      </c>
      <c r="I25" s="69">
        <f>SUM(I26:I27)</f>
        <v>1918</v>
      </c>
      <c r="J25" s="5"/>
      <c r="K25" s="81" t="s">
        <v>417</v>
      </c>
      <c r="L25" s="22"/>
      <c r="M25" s="22">
        <v>563</v>
      </c>
      <c r="N25" s="51">
        <v>552</v>
      </c>
      <c r="O25" s="5">
        <f t="shared" si="3"/>
        <v>0.980461811722913</v>
      </c>
    </row>
    <row r="26" ht="16.5" customHeight="1" spans="1:15">
      <c r="A26" s="1" t="s">
        <v>312</v>
      </c>
      <c r="B26" s="51">
        <v>2000</v>
      </c>
      <c r="C26" s="51">
        <v>1800</v>
      </c>
      <c r="D26" s="51">
        <v>1778</v>
      </c>
      <c r="E26" s="5">
        <f t="shared" si="0"/>
        <v>0.987777777777778</v>
      </c>
      <c r="F26" s="1" t="s">
        <v>81</v>
      </c>
      <c r="G26" s="51">
        <v>417</v>
      </c>
      <c r="H26" s="22">
        <v>417</v>
      </c>
      <c r="I26" s="22">
        <v>246</v>
      </c>
      <c r="J26" s="5"/>
      <c r="K26" s="42" t="s">
        <v>344</v>
      </c>
      <c r="L26" s="22">
        <v>300</v>
      </c>
      <c r="M26" s="22">
        <v>428</v>
      </c>
      <c r="N26" s="51">
        <v>424</v>
      </c>
      <c r="O26" s="5">
        <f t="shared" si="3"/>
        <v>0.990654205607477</v>
      </c>
    </row>
    <row r="27" ht="16.5" customHeight="1" spans="1:15">
      <c r="A27" s="25" t="s">
        <v>345</v>
      </c>
      <c r="B27" s="51">
        <v>110</v>
      </c>
      <c r="C27" s="51">
        <v>700</v>
      </c>
      <c r="D27" s="51">
        <v>812</v>
      </c>
      <c r="E27" s="5">
        <f t="shared" si="0"/>
        <v>1.16</v>
      </c>
      <c r="F27" s="1" t="s">
        <v>84</v>
      </c>
      <c r="G27" s="71">
        <v>783</v>
      </c>
      <c r="H27" s="22">
        <v>783</v>
      </c>
      <c r="I27" s="22">
        <v>1672</v>
      </c>
      <c r="J27" s="5"/>
      <c r="K27" s="42" t="s">
        <v>346</v>
      </c>
      <c r="L27" s="22">
        <v>250</v>
      </c>
      <c r="M27" s="22">
        <v>1872</v>
      </c>
      <c r="N27" s="51">
        <v>1380</v>
      </c>
      <c r="O27" s="5">
        <f t="shared" si="3"/>
        <v>0.737179487179487</v>
      </c>
    </row>
    <row r="28" ht="16.5" customHeight="1" spans="1:15">
      <c r="A28" s="1" t="s">
        <v>77</v>
      </c>
      <c r="B28" s="4">
        <v>10800</v>
      </c>
      <c r="C28" s="51">
        <v>10400</v>
      </c>
      <c r="D28" s="51">
        <v>10948</v>
      </c>
      <c r="E28" s="5">
        <f t="shared" si="0"/>
        <v>1.05269230769231</v>
      </c>
      <c r="F28" s="26" t="s">
        <v>400</v>
      </c>
      <c r="G28" s="72">
        <v>1000</v>
      </c>
      <c r="H28" s="22"/>
      <c r="I28" s="19">
        <v>1000</v>
      </c>
      <c r="J28" s="5"/>
      <c r="K28" s="81" t="s">
        <v>418</v>
      </c>
      <c r="L28" s="22">
        <v>87080</v>
      </c>
      <c r="M28" s="22">
        <v>86292</v>
      </c>
      <c r="N28" s="51">
        <v>85164</v>
      </c>
      <c r="O28" s="5">
        <f t="shared" si="3"/>
        <v>0.986928104575163</v>
      </c>
    </row>
    <row r="29" ht="16.5" customHeight="1" spans="1:15">
      <c r="A29" s="1" t="s">
        <v>80</v>
      </c>
      <c r="B29" s="4">
        <v>3500</v>
      </c>
      <c r="C29" s="51">
        <v>4000</v>
      </c>
      <c r="D29" s="51">
        <v>4101</v>
      </c>
      <c r="E29" s="5">
        <f t="shared" si="0"/>
        <v>1.02525</v>
      </c>
      <c r="F29" s="26" t="s">
        <v>90</v>
      </c>
      <c r="G29" s="72"/>
      <c r="H29" s="22"/>
      <c r="I29" s="19">
        <v>667</v>
      </c>
      <c r="J29" s="5"/>
      <c r="K29" s="42" t="s">
        <v>348</v>
      </c>
      <c r="L29" s="22">
        <v>700</v>
      </c>
      <c r="M29" s="22">
        <v>842</v>
      </c>
      <c r="N29" s="51">
        <v>641</v>
      </c>
      <c r="O29" s="5">
        <f t="shared" si="3"/>
        <v>0.761282660332542</v>
      </c>
    </row>
    <row r="30" ht="16.5" customHeight="1" spans="1:15">
      <c r="A30" s="1" t="s">
        <v>155</v>
      </c>
      <c r="B30" s="4">
        <v>24400</v>
      </c>
      <c r="C30" s="51">
        <v>15725</v>
      </c>
      <c r="D30" s="51">
        <v>15416</v>
      </c>
      <c r="E30" s="5">
        <f t="shared" si="0"/>
        <v>0.980349761526232</v>
      </c>
      <c r="F30" s="21" t="s">
        <v>264</v>
      </c>
      <c r="G30" s="52"/>
      <c r="H30" s="22"/>
      <c r="I30" s="19">
        <v>16792</v>
      </c>
      <c r="J30" s="5"/>
      <c r="K30" s="42" t="s">
        <v>401</v>
      </c>
      <c r="L30" s="22">
        <v>2700</v>
      </c>
      <c r="M30" s="22">
        <v>2616</v>
      </c>
      <c r="N30" s="51">
        <v>2616</v>
      </c>
      <c r="O30" s="5">
        <f t="shared" si="3"/>
        <v>1</v>
      </c>
    </row>
    <row r="31" ht="16.5" customHeight="1" spans="1:15">
      <c r="A31" s="1" t="s">
        <v>86</v>
      </c>
      <c r="B31" s="4">
        <v>280</v>
      </c>
      <c r="C31" s="51">
        <v>330</v>
      </c>
      <c r="D31" s="51">
        <v>351</v>
      </c>
      <c r="E31" s="5">
        <f t="shared" si="0"/>
        <v>1.06363636363636</v>
      </c>
      <c r="F31" s="1" t="s">
        <v>100</v>
      </c>
      <c r="G31" s="51"/>
      <c r="H31" s="22"/>
      <c r="I31" s="22">
        <v>16792</v>
      </c>
      <c r="J31" s="5"/>
      <c r="K31" s="42" t="s">
        <v>402</v>
      </c>
      <c r="L31" s="22">
        <v>220</v>
      </c>
      <c r="M31" s="22">
        <v>679</v>
      </c>
      <c r="N31" s="51">
        <v>102</v>
      </c>
      <c r="O31" s="5">
        <f t="shared" si="3"/>
        <v>0.150220913107511</v>
      </c>
    </row>
    <row r="32" ht="16.5" customHeight="1" spans="1:15">
      <c r="A32" s="1" t="s">
        <v>92</v>
      </c>
      <c r="B32" s="4">
        <v>2915</v>
      </c>
      <c r="C32" s="51">
        <v>9010</v>
      </c>
      <c r="D32" s="51">
        <v>9350</v>
      </c>
      <c r="E32" s="5">
        <f t="shared" si="0"/>
        <v>1.0377358490566</v>
      </c>
      <c r="F32" s="21" t="s">
        <v>103</v>
      </c>
      <c r="G32" s="52">
        <f>SUM(G5,G25,G28:G30)</f>
        <v>155300</v>
      </c>
      <c r="H32" s="52">
        <f>SUM(H5,H25,H28:H30)</f>
        <v>255051</v>
      </c>
      <c r="I32" s="52">
        <f>SUM(I5,I25,I28:I30)</f>
        <v>257436</v>
      </c>
      <c r="J32" s="4"/>
      <c r="K32" s="81" t="s">
        <v>419</v>
      </c>
      <c r="L32" s="22"/>
      <c r="M32" s="22">
        <v>3694</v>
      </c>
      <c r="N32" s="51">
        <v>3287</v>
      </c>
      <c r="O32" s="5">
        <f t="shared" si="3"/>
        <v>0.889821331889551</v>
      </c>
    </row>
    <row r="33" ht="16.5" customHeight="1" spans="1:15">
      <c r="A33" s="28" t="s">
        <v>94</v>
      </c>
      <c r="B33" s="52">
        <f>SUM(B34:B36)</f>
        <v>22000</v>
      </c>
      <c r="C33" s="52">
        <f>SUM(C34:C36)</f>
        <v>23642</v>
      </c>
      <c r="D33" s="52">
        <f>SUM(D34:D36)</f>
        <v>116320</v>
      </c>
      <c r="E33" s="18"/>
      <c r="F33" s="21"/>
      <c r="G33" s="17"/>
      <c r="H33" s="17"/>
      <c r="I33" s="17"/>
      <c r="J33" s="4"/>
      <c r="K33" s="42" t="s">
        <v>352</v>
      </c>
      <c r="L33" s="22">
        <v>1500</v>
      </c>
      <c r="M33" s="22">
        <v>2087</v>
      </c>
      <c r="N33" s="51">
        <v>1084</v>
      </c>
      <c r="O33" s="5">
        <f t="shared" si="3"/>
        <v>0.519405845711548</v>
      </c>
    </row>
    <row r="34" ht="16.5" customHeight="1" spans="1:15">
      <c r="A34" s="29" t="s">
        <v>96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42" t="s">
        <v>403</v>
      </c>
      <c r="L34" s="22">
        <v>250</v>
      </c>
      <c r="M34" s="22">
        <v>493</v>
      </c>
      <c r="N34" s="51">
        <v>251</v>
      </c>
      <c r="O34" s="5">
        <f t="shared" si="3"/>
        <v>0.509127789046653</v>
      </c>
    </row>
    <row r="35" ht="16.5" customHeight="1" spans="1:15">
      <c r="A35" s="29" t="s">
        <v>99</v>
      </c>
      <c r="B35" s="51">
        <v>15082</v>
      </c>
      <c r="C35" s="51">
        <v>16724</v>
      </c>
      <c r="D35" s="51">
        <v>47806</v>
      </c>
      <c r="E35" s="5"/>
      <c r="F35" s="21"/>
      <c r="G35" s="17"/>
      <c r="H35" s="17"/>
      <c r="I35" s="17"/>
      <c r="J35" s="4"/>
      <c r="K35" s="42" t="s">
        <v>404</v>
      </c>
      <c r="L35" s="22">
        <v>500</v>
      </c>
      <c r="M35" s="22">
        <v>2284</v>
      </c>
      <c r="N35" s="51">
        <v>898</v>
      </c>
      <c r="O35" s="5">
        <f t="shared" si="3"/>
        <v>0.393169877408056</v>
      </c>
    </row>
    <row r="36" ht="16.5" customHeight="1" spans="1:15">
      <c r="A36" s="29" t="s">
        <v>102</v>
      </c>
      <c r="B36" s="51"/>
      <c r="C36" s="51"/>
      <c r="D36" s="51">
        <v>60815</v>
      </c>
      <c r="E36" s="5"/>
      <c r="F36" s="30" t="s">
        <v>355</v>
      </c>
      <c r="G36" s="31"/>
      <c r="H36" s="31"/>
      <c r="I36" s="31"/>
      <c r="J36" s="48"/>
      <c r="K36" s="42" t="s">
        <v>420</v>
      </c>
      <c r="L36" s="22" t="s">
        <v>379</v>
      </c>
      <c r="M36" s="22">
        <v>17</v>
      </c>
      <c r="N36" s="51"/>
      <c r="O36" s="5">
        <f t="shared" si="3"/>
        <v>0</v>
      </c>
    </row>
    <row r="37" ht="16.5" customHeight="1" spans="1:15">
      <c r="A37" s="33" t="s">
        <v>105</v>
      </c>
      <c r="B37" s="72"/>
      <c r="C37" s="52">
        <v>8918</v>
      </c>
      <c r="D37" s="52">
        <v>19950</v>
      </c>
      <c r="E37" s="45"/>
      <c r="F37" s="15" t="s">
        <v>6</v>
      </c>
      <c r="G37" s="4" t="s">
        <v>129</v>
      </c>
      <c r="H37" s="4" t="s">
        <v>130</v>
      </c>
      <c r="I37" s="4" t="s">
        <v>131</v>
      </c>
      <c r="J37" s="4" t="s">
        <v>132</v>
      </c>
      <c r="K37" s="42" t="s">
        <v>406</v>
      </c>
      <c r="L37" s="22"/>
      <c r="M37" s="22">
        <v>1140</v>
      </c>
      <c r="N37" s="51">
        <v>1110</v>
      </c>
      <c r="O37" s="5">
        <f t="shared" si="3"/>
        <v>0.973684210526316</v>
      </c>
    </row>
    <row r="38" ht="16.5" customHeight="1" spans="1:15">
      <c r="A38" s="33" t="s">
        <v>407</v>
      </c>
      <c r="B38" s="86"/>
      <c r="C38" s="52">
        <v>6300</v>
      </c>
      <c r="D38" s="52">
        <v>6300</v>
      </c>
      <c r="E38" s="1"/>
      <c r="F38" s="21" t="s">
        <v>383</v>
      </c>
      <c r="G38" s="85">
        <f>B5</f>
        <v>133300</v>
      </c>
      <c r="H38" s="85">
        <f>C5</f>
        <v>111100</v>
      </c>
      <c r="I38" s="85">
        <f>D5</f>
        <v>112226</v>
      </c>
      <c r="J38" s="18">
        <f t="shared" ref="J38:J44" si="4">I38/H38</f>
        <v>1.01013501350135</v>
      </c>
      <c r="K38" s="42" t="s">
        <v>408</v>
      </c>
      <c r="L38" s="22"/>
      <c r="M38" s="22">
        <v>71</v>
      </c>
      <c r="N38" s="51">
        <v>71</v>
      </c>
      <c r="O38" s="5">
        <f t="shared" si="3"/>
        <v>1</v>
      </c>
    </row>
    <row r="39" ht="16.5" customHeight="1" spans="1:15">
      <c r="A39" s="87" t="s">
        <v>110</v>
      </c>
      <c r="B39" s="51"/>
      <c r="C39" s="52">
        <v>1640</v>
      </c>
      <c r="D39" s="52">
        <v>1640</v>
      </c>
      <c r="E39" s="5"/>
      <c r="F39" s="34" t="s">
        <v>359</v>
      </c>
      <c r="G39" s="85">
        <f>SUM(G40:G43)</f>
        <v>65200</v>
      </c>
      <c r="H39" s="85">
        <f>SUM(H40:H43)</f>
        <v>53599.5</v>
      </c>
      <c r="I39" s="85">
        <f>SUM(I40:I43)</f>
        <v>52528.5</v>
      </c>
      <c r="J39" s="18">
        <f t="shared" si="4"/>
        <v>0.980018470321552</v>
      </c>
      <c r="K39" s="42" t="s">
        <v>409</v>
      </c>
      <c r="L39" s="22"/>
      <c r="M39" s="22">
        <v>670</v>
      </c>
      <c r="N39" s="51">
        <v>670</v>
      </c>
      <c r="O39" s="5">
        <f t="shared" si="3"/>
        <v>1</v>
      </c>
    </row>
    <row r="40" ht="16.5" customHeight="1" spans="1:15">
      <c r="A40" s="33" t="s">
        <v>112</v>
      </c>
      <c r="B40" s="51"/>
      <c r="C40" s="51"/>
      <c r="D40" s="52">
        <v>1000</v>
      </c>
      <c r="E40" s="5"/>
      <c r="F40" s="35" t="s">
        <v>361</v>
      </c>
      <c r="G40" s="51">
        <f>B8*3</f>
        <v>39150</v>
      </c>
      <c r="H40" s="51">
        <f>C8*3</f>
        <v>31779</v>
      </c>
      <c r="I40" s="51">
        <f>D8*3+1</f>
        <v>31096</v>
      </c>
      <c r="J40" s="5">
        <f t="shared" si="4"/>
        <v>0.978507819629315</v>
      </c>
      <c r="K40" s="42" t="s">
        <v>410</v>
      </c>
      <c r="L40" s="22"/>
      <c r="M40" s="22">
        <v>3150</v>
      </c>
      <c r="N40" s="51">
        <v>1680</v>
      </c>
      <c r="O40" s="5">
        <f t="shared" si="3"/>
        <v>0.533333333333333</v>
      </c>
    </row>
    <row r="41" ht="16.5" customHeight="1" spans="1:15">
      <c r="A41" s="33"/>
      <c r="B41" s="51"/>
      <c r="C41" s="51"/>
      <c r="D41" s="52"/>
      <c r="E41" s="5"/>
      <c r="F41" s="35" t="s">
        <v>117</v>
      </c>
      <c r="G41" s="51">
        <f>B11*1.5-0.5</f>
        <v>19810</v>
      </c>
      <c r="H41" s="51">
        <f>C11*1.5-0.5</f>
        <v>15829</v>
      </c>
      <c r="I41" s="51">
        <f>D11*1.5</f>
        <v>15432</v>
      </c>
      <c r="J41" s="5">
        <f t="shared" si="4"/>
        <v>0.974919451639396</v>
      </c>
      <c r="K41" s="42" t="s">
        <v>421</v>
      </c>
      <c r="L41" s="22">
        <v>300</v>
      </c>
      <c r="M41" s="22">
        <v>1013</v>
      </c>
      <c r="N41" s="51">
        <v>548</v>
      </c>
      <c r="O41" s="5">
        <f t="shared" si="3"/>
        <v>0.540967423494571</v>
      </c>
    </row>
    <row r="42" ht="16.5" customHeight="1" spans="1:15">
      <c r="A42" s="33"/>
      <c r="B42" s="51"/>
      <c r="C42" s="51"/>
      <c r="D42" s="52"/>
      <c r="E42" s="5"/>
      <c r="F42" s="35" t="s">
        <v>118</v>
      </c>
      <c r="G42" s="51">
        <f>B12*1.5</f>
        <v>6000</v>
      </c>
      <c r="H42" s="51">
        <f>C12*1.5</f>
        <v>5779.5</v>
      </c>
      <c r="I42" s="51">
        <f>D12*1.5</f>
        <v>5788.5</v>
      </c>
      <c r="J42" s="5">
        <f t="shared" si="4"/>
        <v>1.00155722813392</v>
      </c>
      <c r="K42" s="16" t="s">
        <v>412</v>
      </c>
      <c r="L42" s="22"/>
      <c r="M42" s="22"/>
      <c r="N42" s="41">
        <v>629</v>
      </c>
      <c r="O42" s="5"/>
    </row>
    <row r="43" ht="17.25" customHeight="1" spans="1:15">
      <c r="A43" s="33"/>
      <c r="B43" s="51"/>
      <c r="C43" s="51"/>
      <c r="D43" s="52"/>
      <c r="E43" s="5"/>
      <c r="F43" s="35" t="s">
        <v>120</v>
      </c>
      <c r="G43" s="51">
        <v>240</v>
      </c>
      <c r="H43" s="51">
        <v>212</v>
      </c>
      <c r="I43" s="51">
        <v>212</v>
      </c>
      <c r="J43" s="5">
        <f t="shared" si="4"/>
        <v>1</v>
      </c>
      <c r="K43" s="21" t="s">
        <v>268</v>
      </c>
      <c r="L43" s="22"/>
      <c r="M43" s="22"/>
      <c r="N43" s="52">
        <v>7606</v>
      </c>
      <c r="O43" s="4"/>
    </row>
    <row r="44" ht="19.5" customHeight="1" spans="1:15">
      <c r="A44" s="28" t="s">
        <v>124</v>
      </c>
      <c r="B44" s="52">
        <f>SUM(B5,B33,B37:B38)</f>
        <v>155300</v>
      </c>
      <c r="C44" s="52"/>
      <c r="D44" s="52">
        <f>SUM(D5,D33,D37:D40)</f>
        <v>257436</v>
      </c>
      <c r="E44" s="5"/>
      <c r="F44" s="36" t="s">
        <v>363</v>
      </c>
      <c r="G44" s="85">
        <f>SUM(G38:G39)</f>
        <v>198500</v>
      </c>
      <c r="H44" s="85">
        <f>SUM(H38:H39)</f>
        <v>164699.5</v>
      </c>
      <c r="I44" s="85">
        <f>SUM(I38:I39)</f>
        <v>164754.5</v>
      </c>
      <c r="J44" s="18">
        <f t="shared" si="4"/>
        <v>1.00033394151166</v>
      </c>
      <c r="K44" s="21" t="s">
        <v>91</v>
      </c>
      <c r="L44" s="19">
        <f>SUM(L22,L43:L43)</f>
        <v>93800</v>
      </c>
      <c r="M44" s="22"/>
      <c r="N44" s="19">
        <f>SUM(N22,N42:N43)</f>
        <v>111333</v>
      </c>
      <c r="O44" s="4"/>
    </row>
    <row r="45" ht="19.5" customHeight="1" spans="2:2">
      <c r="B45" s="54"/>
    </row>
    <row r="46" ht="21" customHeight="1" spans="1:8">
      <c r="A46" s="37"/>
      <c r="B46" s="37"/>
      <c r="H46" s="38"/>
    </row>
    <row r="47" ht="15.95" customHeight="1"/>
    <row r="48" ht="15.95" customHeight="1"/>
    <row r="49" spans="11:11">
      <c r="K49" t="s">
        <v>422</v>
      </c>
    </row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13" workbookViewId="0">
      <selection activeCell="D9" sqref="D9"/>
    </sheetView>
  </sheetViews>
  <sheetFormatPr defaultColWidth="9" defaultRowHeight="14.25"/>
  <cols>
    <col min="1" max="1" width="25.875" customWidth="1"/>
    <col min="2" max="2" width="8.87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423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424</v>
      </c>
      <c r="C4" s="15" t="s">
        <v>387</v>
      </c>
      <c r="D4" s="15" t="s">
        <v>9</v>
      </c>
      <c r="E4" s="15" t="s">
        <v>10</v>
      </c>
      <c r="F4" s="15" t="s">
        <v>6</v>
      </c>
      <c r="G4" s="15" t="s">
        <v>425</v>
      </c>
      <c r="H4" s="15" t="s">
        <v>387</v>
      </c>
      <c r="I4" s="15" t="s">
        <v>11</v>
      </c>
      <c r="J4" s="15" t="s">
        <v>10</v>
      </c>
      <c r="K4" s="15" t="s">
        <v>6</v>
      </c>
      <c r="L4" s="15" t="s">
        <v>424</v>
      </c>
      <c r="M4" s="15" t="s">
        <v>387</v>
      </c>
      <c r="N4" s="15" t="s">
        <v>9</v>
      </c>
      <c r="O4" s="15" t="s">
        <v>10</v>
      </c>
    </row>
    <row r="5" ht="17.25" customHeight="1" spans="1:15">
      <c r="A5" s="21" t="s">
        <v>329</v>
      </c>
      <c r="B5" s="52">
        <f>SUM(B6,B22)</f>
        <v>100500</v>
      </c>
      <c r="C5" s="52">
        <f>SUM(C6,C22)</f>
        <v>122168</v>
      </c>
      <c r="D5" s="52">
        <f t="shared" ref="D5:D21" si="0">C5-B5</f>
        <v>21668</v>
      </c>
      <c r="E5" s="18">
        <f t="shared" ref="E5:E38" si="1">D5/B5</f>
        <v>0.215601990049751</v>
      </c>
      <c r="F5" s="21" t="s">
        <v>330</v>
      </c>
      <c r="G5" s="19">
        <f>SUM(G6:G25)</f>
        <v>176199</v>
      </c>
      <c r="H5" s="19">
        <f>SUM(H6:H25)</f>
        <v>212397</v>
      </c>
      <c r="I5" s="19">
        <f>SUM(I6:I25)</f>
        <v>36198</v>
      </c>
      <c r="J5" s="18">
        <f t="shared" ref="J5:J19" si="2">I5/G5</f>
        <v>0.205438169342618</v>
      </c>
      <c r="K5" s="46" t="s">
        <v>14</v>
      </c>
      <c r="L5" s="52">
        <f>SUM(L6:L15)</f>
        <v>90417</v>
      </c>
      <c r="M5" s="52">
        <f>SUM(M6:M15)</f>
        <v>107640</v>
      </c>
      <c r="N5" s="52">
        <f>SUM(N6:N15)</f>
        <v>17223</v>
      </c>
      <c r="O5" s="18">
        <f t="shared" ref="O5:O14" si="3">N5/L5</f>
        <v>0.190484090381234</v>
      </c>
    </row>
    <row r="6" ht="17.25" customHeight="1" spans="1:15">
      <c r="A6" s="21" t="s">
        <v>15</v>
      </c>
      <c r="B6" s="52">
        <f>SUM(B7,B10:B21)</f>
        <v>60541</v>
      </c>
      <c r="C6" s="52">
        <f>SUM(C7,C10:C21)</f>
        <v>76682</v>
      </c>
      <c r="D6" s="52">
        <f>SUM(D7,D10:D21)</f>
        <v>16141</v>
      </c>
      <c r="E6" s="18">
        <f t="shared" si="1"/>
        <v>0.266612708742835</v>
      </c>
      <c r="F6" s="1" t="s">
        <v>228</v>
      </c>
      <c r="G6" s="22">
        <v>32378</v>
      </c>
      <c r="H6" s="22">
        <v>33931</v>
      </c>
      <c r="I6" s="51">
        <f t="shared" ref="I6:I33" si="4">H6-G6</f>
        <v>1553</v>
      </c>
      <c r="J6" s="5">
        <f t="shared" si="2"/>
        <v>0.0479646673667305</v>
      </c>
      <c r="K6" s="42" t="s">
        <v>331</v>
      </c>
      <c r="L6" s="51">
        <v>236</v>
      </c>
      <c r="M6" s="51">
        <v>241</v>
      </c>
      <c r="N6" s="51">
        <f>M6-L6</f>
        <v>5</v>
      </c>
      <c r="O6" s="5">
        <f t="shared" si="3"/>
        <v>0.0211864406779661</v>
      </c>
    </row>
    <row r="7" ht="17.25" customHeight="1" spans="1:15">
      <c r="A7" s="1" t="s">
        <v>18</v>
      </c>
      <c r="B7" s="51">
        <f>SUM(B8:B9)</f>
        <v>11874</v>
      </c>
      <c r="C7" s="51">
        <f>SUM(C8:C9)</f>
        <v>12619</v>
      </c>
      <c r="D7" s="51">
        <f>SUM(D8:D9)</f>
        <v>745</v>
      </c>
      <c r="E7" s="5">
        <f t="shared" si="1"/>
        <v>0.0627421256526865</v>
      </c>
      <c r="F7" s="1" t="s">
        <v>229</v>
      </c>
      <c r="G7" s="22">
        <v>292</v>
      </c>
      <c r="H7" s="22">
        <v>458</v>
      </c>
      <c r="I7" s="51">
        <f t="shared" si="4"/>
        <v>166</v>
      </c>
      <c r="J7" s="5">
        <f t="shared" si="2"/>
        <v>0.568493150684932</v>
      </c>
      <c r="K7" s="42" t="s">
        <v>332</v>
      </c>
      <c r="L7" s="51">
        <v>567</v>
      </c>
      <c r="M7" s="51">
        <v>237</v>
      </c>
      <c r="N7" s="51">
        <f t="shared" ref="N7:N18" si="5">M7-L7</f>
        <v>-330</v>
      </c>
      <c r="O7" s="5">
        <f t="shared" si="3"/>
        <v>-0.582010582010582</v>
      </c>
    </row>
    <row r="8" ht="17.25" customHeight="1" spans="1:15">
      <c r="A8" s="1" t="s">
        <v>297</v>
      </c>
      <c r="B8" s="51">
        <f>11874-78</f>
        <v>11796</v>
      </c>
      <c r="C8" s="51">
        <v>11897</v>
      </c>
      <c r="D8" s="51">
        <f t="shared" si="0"/>
        <v>101</v>
      </c>
      <c r="E8" s="5">
        <f t="shared" si="1"/>
        <v>0.00856222448287555</v>
      </c>
      <c r="F8" s="1" t="s">
        <v>231</v>
      </c>
      <c r="G8" s="22">
        <v>8660</v>
      </c>
      <c r="H8" s="22">
        <v>13158</v>
      </c>
      <c r="I8" s="51">
        <f t="shared" si="4"/>
        <v>4498</v>
      </c>
      <c r="J8" s="5">
        <f t="shared" si="2"/>
        <v>0.519399538106236</v>
      </c>
      <c r="K8" s="42" t="s">
        <v>333</v>
      </c>
      <c r="L8" s="51">
        <v>82908</v>
      </c>
      <c r="M8" s="51">
        <v>96543</v>
      </c>
      <c r="N8" s="51">
        <f t="shared" si="5"/>
        <v>13635</v>
      </c>
      <c r="O8" s="5">
        <f t="shared" si="3"/>
        <v>0.164459400781589</v>
      </c>
    </row>
    <row r="9" ht="17.25" customHeight="1" spans="1:15">
      <c r="A9" s="1" t="s">
        <v>299</v>
      </c>
      <c r="B9" s="51">
        <v>78</v>
      </c>
      <c r="C9" s="51">
        <v>722</v>
      </c>
      <c r="D9" s="51">
        <f t="shared" si="0"/>
        <v>644</v>
      </c>
      <c r="E9" s="5">
        <f t="shared" si="1"/>
        <v>8.25641025641026</v>
      </c>
      <c r="F9" s="1" t="s">
        <v>233</v>
      </c>
      <c r="G9" s="22">
        <v>51244</v>
      </c>
      <c r="H9" s="22">
        <v>55218</v>
      </c>
      <c r="I9" s="51">
        <f t="shared" si="4"/>
        <v>3974</v>
      </c>
      <c r="J9" s="5">
        <f t="shared" si="2"/>
        <v>0.0775505425025369</v>
      </c>
      <c r="K9" s="42" t="s">
        <v>334</v>
      </c>
      <c r="L9" s="51">
        <v>653</v>
      </c>
      <c r="M9" s="51">
        <v>787</v>
      </c>
      <c r="N9" s="51">
        <f t="shared" si="5"/>
        <v>134</v>
      </c>
      <c r="O9" s="5">
        <f t="shared" si="3"/>
        <v>0.2052067381317</v>
      </c>
    </row>
    <row r="10" ht="17.25" customHeight="1" spans="1:15">
      <c r="A10" s="1" t="s">
        <v>301</v>
      </c>
      <c r="B10" s="51">
        <v>20478</v>
      </c>
      <c r="C10" s="51">
        <v>26496</v>
      </c>
      <c r="D10" s="51">
        <f t="shared" si="0"/>
        <v>6018</v>
      </c>
      <c r="E10" s="5">
        <f t="shared" si="1"/>
        <v>0.293876355112804</v>
      </c>
      <c r="F10" s="1" t="s">
        <v>235</v>
      </c>
      <c r="G10" s="22">
        <v>1753</v>
      </c>
      <c r="H10" s="22">
        <v>2251</v>
      </c>
      <c r="I10" s="51">
        <f t="shared" si="4"/>
        <v>498</v>
      </c>
      <c r="J10" s="5">
        <f t="shared" si="2"/>
        <v>0.284084426697091</v>
      </c>
      <c r="K10" s="42" t="s">
        <v>388</v>
      </c>
      <c r="L10" s="51">
        <v>3710</v>
      </c>
      <c r="M10" s="51">
        <v>5611</v>
      </c>
      <c r="N10" s="51">
        <f t="shared" si="5"/>
        <v>1901</v>
      </c>
      <c r="O10" s="5">
        <f t="shared" si="3"/>
        <v>0.512398921832884</v>
      </c>
    </row>
    <row r="11" ht="17.25" customHeight="1" spans="1:15">
      <c r="A11" s="1" t="s">
        <v>30</v>
      </c>
      <c r="B11" s="51">
        <v>9544</v>
      </c>
      <c r="C11" s="51">
        <v>9981</v>
      </c>
      <c r="D11" s="51">
        <f t="shared" si="0"/>
        <v>437</v>
      </c>
      <c r="E11" s="5">
        <f t="shared" si="1"/>
        <v>0.0457879295892707</v>
      </c>
      <c r="F11" s="1" t="s">
        <v>237</v>
      </c>
      <c r="G11" s="22">
        <v>2506</v>
      </c>
      <c r="H11" s="22">
        <v>2896</v>
      </c>
      <c r="I11" s="51">
        <f t="shared" si="4"/>
        <v>390</v>
      </c>
      <c r="J11" s="5">
        <f t="shared" si="2"/>
        <v>0.155626496408619</v>
      </c>
      <c r="K11" s="42" t="s">
        <v>389</v>
      </c>
      <c r="L11" s="51">
        <v>127</v>
      </c>
      <c r="M11" s="51">
        <v>161</v>
      </c>
      <c r="N11" s="51">
        <f t="shared" si="5"/>
        <v>34</v>
      </c>
      <c r="O11" s="5">
        <f t="shared" si="3"/>
        <v>0.267716535433071</v>
      </c>
    </row>
    <row r="12" ht="17.25" customHeight="1" spans="1:15">
      <c r="A12" s="1" t="s">
        <v>33</v>
      </c>
      <c r="B12" s="51">
        <v>3432</v>
      </c>
      <c r="C12" s="51">
        <v>3400</v>
      </c>
      <c r="D12" s="51">
        <f t="shared" si="0"/>
        <v>-32</v>
      </c>
      <c r="E12" s="5">
        <f t="shared" si="1"/>
        <v>-0.00932400932400932</v>
      </c>
      <c r="F12" s="1" t="s">
        <v>239</v>
      </c>
      <c r="G12" s="22">
        <v>14341</v>
      </c>
      <c r="H12" s="22">
        <v>14247</v>
      </c>
      <c r="I12" s="51">
        <f t="shared" si="4"/>
        <v>-94</v>
      </c>
      <c r="J12" s="5">
        <f t="shared" si="2"/>
        <v>-0.00655463356809149</v>
      </c>
      <c r="K12" s="42" t="s">
        <v>390</v>
      </c>
      <c r="L12" s="51">
        <v>1483</v>
      </c>
      <c r="M12" s="51">
        <v>2051</v>
      </c>
      <c r="N12" s="51">
        <f t="shared" si="5"/>
        <v>568</v>
      </c>
      <c r="O12" s="5">
        <f t="shared" si="3"/>
        <v>0.383007417397168</v>
      </c>
    </row>
    <row r="13" ht="17.25" customHeight="1" spans="1:15">
      <c r="A13" s="1" t="s">
        <v>36</v>
      </c>
      <c r="B13" s="51">
        <v>1952</v>
      </c>
      <c r="C13" s="51">
        <v>1976</v>
      </c>
      <c r="D13" s="51">
        <f t="shared" si="0"/>
        <v>24</v>
      </c>
      <c r="E13" s="5">
        <f t="shared" si="1"/>
        <v>0.0122950819672131</v>
      </c>
      <c r="F13" s="1" t="s">
        <v>273</v>
      </c>
      <c r="G13" s="22">
        <v>18663</v>
      </c>
      <c r="H13" s="22">
        <v>22162</v>
      </c>
      <c r="I13" s="51">
        <f t="shared" si="4"/>
        <v>3499</v>
      </c>
      <c r="J13" s="5">
        <f t="shared" si="2"/>
        <v>0.187483255639501</v>
      </c>
      <c r="K13" s="42" t="s">
        <v>391</v>
      </c>
      <c r="L13" s="51">
        <v>324</v>
      </c>
      <c r="M13" s="51">
        <v>280</v>
      </c>
      <c r="N13" s="51">
        <f t="shared" si="5"/>
        <v>-44</v>
      </c>
      <c r="O13" s="5">
        <f t="shared" si="3"/>
        <v>-0.135802469135802</v>
      </c>
    </row>
    <row r="14" ht="17.25" customHeight="1" spans="1:15">
      <c r="A14" s="1" t="s">
        <v>39</v>
      </c>
      <c r="B14" s="51">
        <v>3298</v>
      </c>
      <c r="C14" s="51">
        <v>3435</v>
      </c>
      <c r="D14" s="51">
        <f t="shared" si="0"/>
        <v>137</v>
      </c>
      <c r="E14" s="5">
        <f t="shared" si="1"/>
        <v>0.0415403274711947</v>
      </c>
      <c r="F14" s="1" t="s">
        <v>241</v>
      </c>
      <c r="G14" s="22">
        <v>1309</v>
      </c>
      <c r="H14" s="22">
        <v>8182</v>
      </c>
      <c r="I14" s="51">
        <f t="shared" si="4"/>
        <v>6873</v>
      </c>
      <c r="J14" s="5">
        <f t="shared" si="2"/>
        <v>5.25057295645531</v>
      </c>
      <c r="K14" s="42" t="s">
        <v>392</v>
      </c>
      <c r="L14" s="51">
        <v>409</v>
      </c>
      <c r="M14" s="51">
        <v>1377</v>
      </c>
      <c r="N14" s="51">
        <f t="shared" si="5"/>
        <v>968</v>
      </c>
      <c r="O14" s="5">
        <f t="shared" si="3"/>
        <v>2.36674816625917</v>
      </c>
    </row>
    <row r="15" ht="17.25" customHeight="1" spans="1:15">
      <c r="A15" s="1" t="s">
        <v>42</v>
      </c>
      <c r="B15" s="51">
        <v>1039</v>
      </c>
      <c r="C15" s="51">
        <v>2121</v>
      </c>
      <c r="D15" s="51">
        <f t="shared" si="0"/>
        <v>1082</v>
      </c>
      <c r="E15" s="5">
        <f t="shared" si="1"/>
        <v>1.04138594802695</v>
      </c>
      <c r="F15" s="1" t="s">
        <v>274</v>
      </c>
      <c r="G15" s="22">
        <v>3642</v>
      </c>
      <c r="H15" s="22">
        <v>3807</v>
      </c>
      <c r="I15" s="51">
        <f t="shared" si="4"/>
        <v>165</v>
      </c>
      <c r="J15" s="5">
        <f t="shared" si="2"/>
        <v>0.0453047775947282</v>
      </c>
      <c r="K15" s="42" t="s">
        <v>394</v>
      </c>
      <c r="L15" s="51"/>
      <c r="M15" s="51">
        <v>352</v>
      </c>
      <c r="N15" s="51">
        <f t="shared" si="5"/>
        <v>352</v>
      </c>
      <c r="O15" s="5"/>
    </row>
    <row r="16" ht="17.25" customHeight="1" spans="1:15">
      <c r="A16" s="1" t="s">
        <v>45</v>
      </c>
      <c r="B16" s="51">
        <v>749</v>
      </c>
      <c r="C16" s="51">
        <v>901</v>
      </c>
      <c r="D16" s="51">
        <f t="shared" si="0"/>
        <v>152</v>
      </c>
      <c r="E16" s="5">
        <f t="shared" si="1"/>
        <v>0.202937249666222</v>
      </c>
      <c r="F16" s="1" t="s">
        <v>275</v>
      </c>
      <c r="G16" s="22">
        <v>26772</v>
      </c>
      <c r="H16" s="22">
        <v>33109</v>
      </c>
      <c r="I16" s="51">
        <f t="shared" si="4"/>
        <v>6337</v>
      </c>
      <c r="J16" s="5">
        <f t="shared" si="2"/>
        <v>0.236702525026147</v>
      </c>
      <c r="K16" s="21" t="s">
        <v>32</v>
      </c>
      <c r="L16" s="85">
        <v>8930</v>
      </c>
      <c r="M16" s="85">
        <v>9626</v>
      </c>
      <c r="N16" s="52">
        <f t="shared" si="5"/>
        <v>696</v>
      </c>
      <c r="O16" s="18">
        <f>N16/L16</f>
        <v>0.077939529675252</v>
      </c>
    </row>
    <row r="17" ht="17.25" customHeight="1" spans="1:15">
      <c r="A17" s="1" t="s">
        <v>47</v>
      </c>
      <c r="B17" s="51">
        <v>572</v>
      </c>
      <c r="C17" s="51">
        <v>3719</v>
      </c>
      <c r="D17" s="51">
        <f t="shared" si="0"/>
        <v>3147</v>
      </c>
      <c r="E17" s="5">
        <f t="shared" si="1"/>
        <v>5.50174825174825</v>
      </c>
      <c r="F17" s="1" t="s">
        <v>244</v>
      </c>
      <c r="G17" s="22">
        <v>4472</v>
      </c>
      <c r="H17" s="22">
        <v>6226</v>
      </c>
      <c r="I17" s="51">
        <f t="shared" si="4"/>
        <v>1754</v>
      </c>
      <c r="J17" s="5">
        <f t="shared" si="2"/>
        <v>0.39221824686941</v>
      </c>
      <c r="K17" s="21" t="s">
        <v>35</v>
      </c>
      <c r="L17" s="85">
        <v>5087</v>
      </c>
      <c r="M17" s="85">
        <v>7137</v>
      </c>
      <c r="N17" s="85">
        <f t="shared" si="5"/>
        <v>2050</v>
      </c>
      <c r="O17" s="18">
        <f>N17/L17</f>
        <v>0.402988008649499</v>
      </c>
    </row>
    <row r="18" ht="17.25" customHeight="1" spans="1:15">
      <c r="A18" s="1" t="s">
        <v>50</v>
      </c>
      <c r="B18" s="51">
        <v>1477</v>
      </c>
      <c r="C18" s="51">
        <v>3002</v>
      </c>
      <c r="D18" s="51">
        <f t="shared" si="0"/>
        <v>1525</v>
      </c>
      <c r="E18" s="5">
        <f t="shared" si="1"/>
        <v>1.03249830737982</v>
      </c>
      <c r="F18" s="1" t="s">
        <v>276</v>
      </c>
      <c r="G18" s="22">
        <v>1863</v>
      </c>
      <c r="H18" s="22">
        <v>8665</v>
      </c>
      <c r="I18" s="51">
        <f t="shared" si="4"/>
        <v>6802</v>
      </c>
      <c r="J18" s="5">
        <f t="shared" si="2"/>
        <v>3.65110037573806</v>
      </c>
      <c r="K18" s="46" t="s">
        <v>41</v>
      </c>
      <c r="L18" s="52">
        <f>SUM(L17,L16,L5)</f>
        <v>104434</v>
      </c>
      <c r="M18" s="85">
        <f>SUM(M17,M16,M5)</f>
        <v>124403</v>
      </c>
      <c r="N18" s="85">
        <f t="shared" si="5"/>
        <v>19969</v>
      </c>
      <c r="O18" s="18">
        <f>N18/L18</f>
        <v>0.191211674358925</v>
      </c>
    </row>
    <row r="19" ht="17.25" customHeight="1" spans="1:15">
      <c r="A19" s="1" t="s">
        <v>53</v>
      </c>
      <c r="B19" s="51">
        <v>756</v>
      </c>
      <c r="C19" s="51">
        <v>905</v>
      </c>
      <c r="D19" s="51">
        <f t="shared" si="0"/>
        <v>149</v>
      </c>
      <c r="E19" s="5">
        <f t="shared" si="1"/>
        <v>0.197089947089947</v>
      </c>
      <c r="F19" s="1" t="s">
        <v>277</v>
      </c>
      <c r="G19" s="22">
        <v>2580</v>
      </c>
      <c r="H19" s="22">
        <v>2744</v>
      </c>
      <c r="I19" s="51">
        <f t="shared" si="4"/>
        <v>164</v>
      </c>
      <c r="J19" s="5">
        <f t="shared" si="2"/>
        <v>0.0635658914728682</v>
      </c>
      <c r="K19" s="12" t="s">
        <v>306</v>
      </c>
      <c r="L19" s="13"/>
      <c r="M19" s="13"/>
      <c r="N19" s="13"/>
      <c r="O19" s="40"/>
    </row>
    <row r="20" ht="17.25" customHeight="1" spans="1:15">
      <c r="A20" s="1" t="s">
        <v>247</v>
      </c>
      <c r="B20" s="51">
        <v>2733</v>
      </c>
      <c r="C20" s="51">
        <v>2947</v>
      </c>
      <c r="D20" s="51">
        <f t="shared" si="0"/>
        <v>214</v>
      </c>
      <c r="E20" s="5">
        <f t="shared" si="1"/>
        <v>0.0783022319795097</v>
      </c>
      <c r="F20" s="1" t="s">
        <v>395</v>
      </c>
      <c r="G20" s="22"/>
      <c r="H20" s="22"/>
      <c r="I20" s="51">
        <f t="shared" si="4"/>
        <v>0</v>
      </c>
      <c r="J20" s="5"/>
      <c r="K20" s="15" t="s">
        <v>6</v>
      </c>
      <c r="L20" s="4" t="s">
        <v>425</v>
      </c>
      <c r="M20" s="4" t="s">
        <v>387</v>
      </c>
      <c r="N20" s="4" t="s">
        <v>11</v>
      </c>
      <c r="O20" s="4" t="s">
        <v>10</v>
      </c>
    </row>
    <row r="21" ht="17.25" customHeight="1" spans="1:15">
      <c r="A21" s="1" t="s">
        <v>250</v>
      </c>
      <c r="B21" s="51">
        <v>2637</v>
      </c>
      <c r="C21" s="51">
        <v>5180</v>
      </c>
      <c r="D21" s="51">
        <f t="shared" si="0"/>
        <v>2543</v>
      </c>
      <c r="E21" s="5">
        <f t="shared" si="1"/>
        <v>0.964353431930224</v>
      </c>
      <c r="F21" s="1" t="s">
        <v>396</v>
      </c>
      <c r="G21" s="22">
        <v>1291</v>
      </c>
      <c r="H21" s="22">
        <v>1568</v>
      </c>
      <c r="I21" s="51">
        <f t="shared" si="4"/>
        <v>277</v>
      </c>
      <c r="J21" s="5">
        <f t="shared" ref="J21:J33" si="6">I21/G21</f>
        <v>0.214562354763749</v>
      </c>
      <c r="K21" s="46" t="s">
        <v>49</v>
      </c>
      <c r="L21" s="52">
        <f>SUM(L22:L40)</f>
        <v>96769</v>
      </c>
      <c r="M21" s="52">
        <f>SUM(M22:M40)</f>
        <v>116868</v>
      </c>
      <c r="N21" s="52">
        <f>SUM(N22:N40)</f>
        <v>20099</v>
      </c>
      <c r="O21" s="18">
        <f t="shared" ref="O21:O43" si="7">N21/L21</f>
        <v>0.207700813276979</v>
      </c>
    </row>
    <row r="22" ht="17.25" customHeight="1" spans="1:15">
      <c r="A22" s="21" t="s">
        <v>68</v>
      </c>
      <c r="B22" s="52">
        <f>SUM(B23,B28:B32)</f>
        <v>39959</v>
      </c>
      <c r="C22" s="52">
        <f>SUM(C23,C28:C32)</f>
        <v>45486</v>
      </c>
      <c r="D22" s="52">
        <f>SUM(D23,D28:D32)</f>
        <v>5527</v>
      </c>
      <c r="E22" s="18">
        <f t="shared" si="1"/>
        <v>0.138316774694061</v>
      </c>
      <c r="F22" s="1" t="s">
        <v>63</v>
      </c>
      <c r="G22" s="22">
        <v>3103</v>
      </c>
      <c r="H22" s="22">
        <v>2288</v>
      </c>
      <c r="I22" s="51">
        <f t="shared" si="4"/>
        <v>-815</v>
      </c>
      <c r="J22" s="5">
        <f t="shared" si="6"/>
        <v>-0.262649049307122</v>
      </c>
      <c r="K22" s="42" t="s">
        <v>341</v>
      </c>
      <c r="L22" s="51">
        <v>1191</v>
      </c>
      <c r="M22" s="51">
        <v>1322</v>
      </c>
      <c r="N22" s="51">
        <f t="shared" ref="N22:N42" si="8">M22-L22</f>
        <v>131</v>
      </c>
      <c r="O22" s="5">
        <f t="shared" si="7"/>
        <v>0.109991603694374</v>
      </c>
    </row>
    <row r="23" ht="17.25" customHeight="1" spans="1:15">
      <c r="A23" s="21" t="s">
        <v>71</v>
      </c>
      <c r="B23" s="52">
        <f>SUM(B24:B27)</f>
        <v>2196</v>
      </c>
      <c r="C23" s="52">
        <f>SUM(C24:C27)</f>
        <v>2438</v>
      </c>
      <c r="D23" s="52">
        <f>SUM(D24:D27)</f>
        <v>242</v>
      </c>
      <c r="E23" s="18">
        <f t="shared" si="1"/>
        <v>0.110200364298725</v>
      </c>
      <c r="F23" s="1" t="s">
        <v>397</v>
      </c>
      <c r="G23" s="22">
        <v>947</v>
      </c>
      <c r="H23" s="22">
        <v>1213</v>
      </c>
      <c r="I23" s="51">
        <f t="shared" si="4"/>
        <v>266</v>
      </c>
      <c r="J23" s="5">
        <f t="shared" si="6"/>
        <v>0.280887011615628</v>
      </c>
      <c r="K23" s="42" t="s">
        <v>342</v>
      </c>
      <c r="L23" s="51">
        <v>63</v>
      </c>
      <c r="M23" s="51">
        <v>47</v>
      </c>
      <c r="N23" s="51">
        <f t="shared" si="8"/>
        <v>-16</v>
      </c>
      <c r="O23" s="5">
        <f t="shared" si="7"/>
        <v>-0.253968253968254</v>
      </c>
    </row>
    <row r="24" ht="17.25" customHeight="1" spans="1:15">
      <c r="A24" s="1" t="s">
        <v>398</v>
      </c>
      <c r="B24" s="51">
        <v>139</v>
      </c>
      <c r="C24" s="51">
        <v>135</v>
      </c>
      <c r="D24" s="51">
        <f t="shared" ref="D24:D38" si="9">C24-B24</f>
        <v>-4</v>
      </c>
      <c r="E24" s="5">
        <f t="shared" si="1"/>
        <v>-0.0287769784172662</v>
      </c>
      <c r="F24" s="1" t="s">
        <v>399</v>
      </c>
      <c r="G24" s="22"/>
      <c r="H24" s="22">
        <v>107</v>
      </c>
      <c r="I24" s="51">
        <f t="shared" si="4"/>
        <v>107</v>
      </c>
      <c r="J24" s="5"/>
      <c r="K24" s="42" t="s">
        <v>343</v>
      </c>
      <c r="L24" s="51">
        <v>447</v>
      </c>
      <c r="M24" s="51">
        <v>608</v>
      </c>
      <c r="N24" s="51">
        <f t="shared" si="8"/>
        <v>161</v>
      </c>
      <c r="O24" s="5">
        <f t="shared" si="7"/>
        <v>0.360178970917226</v>
      </c>
    </row>
    <row r="25" ht="17.25" customHeight="1" spans="1:15">
      <c r="A25" s="1" t="s">
        <v>310</v>
      </c>
      <c r="B25" s="51">
        <v>210</v>
      </c>
      <c r="C25" s="51">
        <v>228</v>
      </c>
      <c r="D25" s="51">
        <f t="shared" si="9"/>
        <v>18</v>
      </c>
      <c r="E25" s="5">
        <f t="shared" si="1"/>
        <v>0.0857142857142857</v>
      </c>
      <c r="F25" s="1" t="s">
        <v>213</v>
      </c>
      <c r="G25" s="22">
        <v>383</v>
      </c>
      <c r="H25" s="22">
        <v>167</v>
      </c>
      <c r="I25" s="51">
        <f t="shared" si="4"/>
        <v>-216</v>
      </c>
      <c r="J25" s="5">
        <f t="shared" si="6"/>
        <v>-0.563968668407311</v>
      </c>
      <c r="K25" s="42" t="s">
        <v>344</v>
      </c>
      <c r="L25" s="51">
        <v>492</v>
      </c>
      <c r="M25" s="51">
        <v>355</v>
      </c>
      <c r="N25" s="51">
        <f t="shared" si="8"/>
        <v>-137</v>
      </c>
      <c r="O25" s="5">
        <f t="shared" si="7"/>
        <v>-0.278455284552846</v>
      </c>
    </row>
    <row r="26" ht="17.25" customHeight="1" spans="1:15">
      <c r="A26" s="1" t="s">
        <v>312</v>
      </c>
      <c r="B26" s="51">
        <v>1739</v>
      </c>
      <c r="C26" s="51">
        <v>1844</v>
      </c>
      <c r="D26" s="51">
        <f t="shared" si="9"/>
        <v>105</v>
      </c>
      <c r="E26" s="5">
        <f t="shared" si="1"/>
        <v>0.0603795284646348</v>
      </c>
      <c r="F26" s="26" t="s">
        <v>78</v>
      </c>
      <c r="G26" s="69">
        <f>SUM(G27:G28)</f>
        <v>1771</v>
      </c>
      <c r="H26" s="69">
        <f>SUM(H27:H28)</f>
        <v>1932</v>
      </c>
      <c r="I26" s="52">
        <f t="shared" si="4"/>
        <v>161</v>
      </c>
      <c r="J26" s="18">
        <f t="shared" si="6"/>
        <v>0.0909090909090909</v>
      </c>
      <c r="K26" s="42" t="s">
        <v>346</v>
      </c>
      <c r="L26" s="51"/>
      <c r="M26" s="51">
        <v>837</v>
      </c>
      <c r="N26" s="51">
        <f t="shared" si="8"/>
        <v>837</v>
      </c>
      <c r="O26" s="5"/>
    </row>
    <row r="27" ht="17.25" customHeight="1" spans="1:15">
      <c r="A27" s="25" t="s">
        <v>345</v>
      </c>
      <c r="B27" s="51">
        <v>108</v>
      </c>
      <c r="C27" s="51">
        <v>231</v>
      </c>
      <c r="D27" s="51">
        <f t="shared" si="9"/>
        <v>123</v>
      </c>
      <c r="E27" s="5">
        <f t="shared" si="1"/>
        <v>1.13888888888889</v>
      </c>
      <c r="F27" s="1" t="s">
        <v>81</v>
      </c>
      <c r="G27" s="22">
        <v>417</v>
      </c>
      <c r="H27" s="22">
        <v>417</v>
      </c>
      <c r="I27" s="51">
        <f t="shared" si="4"/>
        <v>0</v>
      </c>
      <c r="J27" s="5">
        <f t="shared" si="6"/>
        <v>0</v>
      </c>
      <c r="K27" s="42" t="s">
        <v>347</v>
      </c>
      <c r="L27" s="51">
        <v>82897</v>
      </c>
      <c r="M27" s="51">
        <v>99075</v>
      </c>
      <c r="N27" s="51">
        <f t="shared" si="8"/>
        <v>16178</v>
      </c>
      <c r="O27" s="5">
        <f t="shared" si="7"/>
        <v>0.195157846484191</v>
      </c>
    </row>
    <row r="28" ht="17.25" customHeight="1" spans="1:15">
      <c r="A28" s="1" t="s">
        <v>77</v>
      </c>
      <c r="B28" s="51">
        <v>14734</v>
      </c>
      <c r="C28" s="51">
        <v>13351</v>
      </c>
      <c r="D28" s="51">
        <f t="shared" si="9"/>
        <v>-1383</v>
      </c>
      <c r="E28" s="5">
        <f t="shared" si="1"/>
        <v>-0.0938645310166961</v>
      </c>
      <c r="F28" s="1" t="s">
        <v>84</v>
      </c>
      <c r="G28" s="22">
        <v>1354</v>
      </c>
      <c r="H28" s="22">
        <v>1515</v>
      </c>
      <c r="I28" s="51">
        <f t="shared" si="4"/>
        <v>161</v>
      </c>
      <c r="J28" s="5">
        <f t="shared" si="6"/>
        <v>0.11890694239291</v>
      </c>
      <c r="K28" s="42" t="s">
        <v>348</v>
      </c>
      <c r="L28" s="51">
        <v>918</v>
      </c>
      <c r="M28" s="51">
        <v>608</v>
      </c>
      <c r="N28" s="51">
        <f t="shared" si="8"/>
        <v>-310</v>
      </c>
      <c r="O28" s="5">
        <f t="shared" si="7"/>
        <v>-0.337690631808279</v>
      </c>
    </row>
    <row r="29" ht="17.25" customHeight="1" spans="1:15">
      <c r="A29" s="1" t="s">
        <v>80</v>
      </c>
      <c r="B29" s="51">
        <v>4775</v>
      </c>
      <c r="C29" s="51">
        <v>4162</v>
      </c>
      <c r="D29" s="51">
        <f t="shared" si="9"/>
        <v>-613</v>
      </c>
      <c r="E29" s="5">
        <f t="shared" si="1"/>
        <v>-0.128376963350785</v>
      </c>
      <c r="F29" s="26" t="s">
        <v>400</v>
      </c>
      <c r="G29" s="19">
        <v>3450</v>
      </c>
      <c r="H29" s="19">
        <v>1450</v>
      </c>
      <c r="I29" s="52">
        <f t="shared" si="4"/>
        <v>-2000</v>
      </c>
      <c r="J29" s="18">
        <f t="shared" si="6"/>
        <v>-0.579710144927536</v>
      </c>
      <c r="K29" s="42" t="s">
        <v>401</v>
      </c>
      <c r="L29" s="51">
        <v>3711</v>
      </c>
      <c r="M29" s="51">
        <v>5610</v>
      </c>
      <c r="N29" s="51">
        <f t="shared" si="8"/>
        <v>1899</v>
      </c>
      <c r="O29" s="5">
        <f t="shared" si="7"/>
        <v>0.511721907841552</v>
      </c>
    </row>
    <row r="30" ht="17.25" customHeight="1" spans="1:15">
      <c r="A30" s="1" t="s">
        <v>83</v>
      </c>
      <c r="B30" s="51">
        <v>11256</v>
      </c>
      <c r="C30" s="51">
        <v>18413</v>
      </c>
      <c r="D30" s="51">
        <f t="shared" si="9"/>
        <v>7157</v>
      </c>
      <c r="E30" s="5">
        <f t="shared" si="1"/>
        <v>0.635838663823738</v>
      </c>
      <c r="F30" s="26" t="s">
        <v>90</v>
      </c>
      <c r="G30" s="19"/>
      <c r="H30" s="19">
        <v>1640</v>
      </c>
      <c r="I30" s="52">
        <f t="shared" si="4"/>
        <v>1640</v>
      </c>
      <c r="J30" s="18"/>
      <c r="K30" s="42" t="s">
        <v>402</v>
      </c>
      <c r="L30" s="51">
        <v>174</v>
      </c>
      <c r="M30" s="51">
        <v>117</v>
      </c>
      <c r="N30" s="51">
        <f t="shared" si="8"/>
        <v>-57</v>
      </c>
      <c r="O30" s="5">
        <f t="shared" si="7"/>
        <v>-0.327586206896552</v>
      </c>
    </row>
    <row r="31" ht="17.25" customHeight="1" spans="1:15">
      <c r="A31" s="1" t="s">
        <v>86</v>
      </c>
      <c r="B31" s="51">
        <f>275</f>
        <v>275</v>
      </c>
      <c r="C31" s="51">
        <v>303</v>
      </c>
      <c r="D31" s="51">
        <f t="shared" si="9"/>
        <v>28</v>
      </c>
      <c r="E31" s="5">
        <f t="shared" si="1"/>
        <v>0.101818181818182</v>
      </c>
      <c r="F31" s="21" t="s">
        <v>189</v>
      </c>
      <c r="G31" s="19">
        <v>16711</v>
      </c>
      <c r="H31" s="19">
        <v>19950</v>
      </c>
      <c r="I31" s="52">
        <f t="shared" si="4"/>
        <v>3239</v>
      </c>
      <c r="J31" s="18">
        <f t="shared" si="6"/>
        <v>0.193824427024116</v>
      </c>
      <c r="K31" s="42" t="s">
        <v>351</v>
      </c>
      <c r="L31" s="51">
        <v>2587</v>
      </c>
      <c r="M31" s="51">
        <v>2225</v>
      </c>
      <c r="N31" s="51">
        <f t="shared" si="8"/>
        <v>-362</v>
      </c>
      <c r="O31" s="5">
        <f t="shared" si="7"/>
        <v>-0.139930421337457</v>
      </c>
    </row>
    <row r="32" ht="17.25" customHeight="1" spans="1:15">
      <c r="A32" s="1" t="s">
        <v>92</v>
      </c>
      <c r="B32" s="51">
        <v>6723</v>
      </c>
      <c r="C32" s="51">
        <v>6819</v>
      </c>
      <c r="D32" s="51">
        <f t="shared" si="9"/>
        <v>96</v>
      </c>
      <c r="E32" s="5">
        <f t="shared" si="1"/>
        <v>0.0142793395805444</v>
      </c>
      <c r="F32" s="1" t="s">
        <v>100</v>
      </c>
      <c r="G32" s="22">
        <v>16711</v>
      </c>
      <c r="H32" s="22">
        <v>19950</v>
      </c>
      <c r="I32" s="51">
        <f t="shared" si="4"/>
        <v>3239</v>
      </c>
      <c r="J32" s="5">
        <f t="shared" si="6"/>
        <v>0.193824427024116</v>
      </c>
      <c r="K32" s="42" t="s">
        <v>352</v>
      </c>
      <c r="L32" s="51">
        <v>1780</v>
      </c>
      <c r="M32" s="51">
        <v>2103</v>
      </c>
      <c r="N32" s="51">
        <f t="shared" si="8"/>
        <v>323</v>
      </c>
      <c r="O32" s="5">
        <f t="shared" si="7"/>
        <v>0.181460674157303</v>
      </c>
    </row>
    <row r="33" ht="17.25" customHeight="1" spans="1:15">
      <c r="A33" s="28" t="s">
        <v>94</v>
      </c>
      <c r="B33" s="52">
        <f>SUM(B34:B36)</f>
        <v>85348</v>
      </c>
      <c r="C33" s="52">
        <f>SUM(C34:C36)</f>
        <v>94640</v>
      </c>
      <c r="D33" s="52">
        <f t="shared" si="9"/>
        <v>9292</v>
      </c>
      <c r="E33" s="18">
        <f t="shared" si="1"/>
        <v>0.108871912640015</v>
      </c>
      <c r="F33" s="21" t="s">
        <v>103</v>
      </c>
      <c r="G33" s="52">
        <f>SUM(G5,G26,G29:G31)</f>
        <v>198131</v>
      </c>
      <c r="H33" s="52">
        <f>SUM(H5,H26,H29:H31)</f>
        <v>237369</v>
      </c>
      <c r="I33" s="52">
        <f t="shared" si="4"/>
        <v>39238</v>
      </c>
      <c r="J33" s="18">
        <f t="shared" si="6"/>
        <v>0.19804069025039</v>
      </c>
      <c r="K33" s="42" t="s">
        <v>403</v>
      </c>
      <c r="L33" s="51">
        <v>275</v>
      </c>
      <c r="M33" s="51">
        <v>478</v>
      </c>
      <c r="N33" s="51">
        <f t="shared" si="8"/>
        <v>203</v>
      </c>
      <c r="O33" s="5">
        <f t="shared" si="7"/>
        <v>0.738181818181818</v>
      </c>
    </row>
    <row r="34" ht="17.25" customHeight="1" spans="1:15">
      <c r="A34" s="29" t="s">
        <v>96</v>
      </c>
      <c r="B34" s="51">
        <v>7655</v>
      </c>
      <c r="C34" s="51">
        <v>7699</v>
      </c>
      <c r="D34" s="51">
        <f t="shared" si="9"/>
        <v>44</v>
      </c>
      <c r="E34" s="5">
        <f t="shared" si="1"/>
        <v>0.00574787720444154</v>
      </c>
      <c r="F34" s="21"/>
      <c r="G34" s="52"/>
      <c r="H34" s="52"/>
      <c r="I34" s="52"/>
      <c r="J34" s="18"/>
      <c r="K34" s="42" t="s">
        <v>404</v>
      </c>
      <c r="L34" s="51">
        <v>382</v>
      </c>
      <c r="M34" s="51">
        <v>890</v>
      </c>
      <c r="N34" s="51">
        <f t="shared" si="8"/>
        <v>508</v>
      </c>
      <c r="O34" s="5">
        <f t="shared" si="7"/>
        <v>1.32984293193717</v>
      </c>
    </row>
    <row r="35" ht="17.25" customHeight="1" spans="1:15">
      <c r="A35" s="29" t="s">
        <v>99</v>
      </c>
      <c r="B35" s="51">
        <v>33160</v>
      </c>
      <c r="C35" s="51">
        <v>40324</v>
      </c>
      <c r="D35" s="51">
        <f t="shared" si="9"/>
        <v>7164</v>
      </c>
      <c r="E35" s="5">
        <f t="shared" si="1"/>
        <v>0.216043425814234</v>
      </c>
      <c r="F35" s="30" t="s">
        <v>355</v>
      </c>
      <c r="G35" s="31"/>
      <c r="H35" s="31"/>
      <c r="I35" s="31"/>
      <c r="J35" s="48"/>
      <c r="K35" s="42" t="s">
        <v>405</v>
      </c>
      <c r="L35" s="51">
        <v>55</v>
      </c>
      <c r="M35" s="51">
        <v>105</v>
      </c>
      <c r="N35" s="51">
        <f t="shared" si="8"/>
        <v>50</v>
      </c>
      <c r="O35" s="5">
        <f t="shared" si="7"/>
        <v>0.909090909090909</v>
      </c>
    </row>
    <row r="36" ht="17.25" customHeight="1" spans="1:15">
      <c r="A36" s="29" t="s">
        <v>102</v>
      </c>
      <c r="B36" s="51">
        <v>44533</v>
      </c>
      <c r="C36" s="51">
        <v>46617</v>
      </c>
      <c r="D36" s="51">
        <f t="shared" si="9"/>
        <v>2084</v>
      </c>
      <c r="E36" s="5">
        <f t="shared" si="1"/>
        <v>0.0467967574607594</v>
      </c>
      <c r="F36" s="15" t="s">
        <v>6</v>
      </c>
      <c r="G36" s="15" t="s">
        <v>424</v>
      </c>
      <c r="H36" s="15" t="s">
        <v>387</v>
      </c>
      <c r="I36" s="15" t="s">
        <v>9</v>
      </c>
      <c r="J36" s="15" t="s">
        <v>10</v>
      </c>
      <c r="K36" s="42" t="s">
        <v>406</v>
      </c>
      <c r="L36" s="51">
        <v>296</v>
      </c>
      <c r="M36" s="51">
        <v>620</v>
      </c>
      <c r="N36" s="51">
        <f t="shared" si="8"/>
        <v>324</v>
      </c>
      <c r="O36" s="5">
        <f t="shared" si="7"/>
        <v>1.09459459459459</v>
      </c>
    </row>
    <row r="37" ht="17.25" customHeight="1" spans="1:15">
      <c r="A37" s="33" t="s">
        <v>105</v>
      </c>
      <c r="B37" s="52">
        <v>9300</v>
      </c>
      <c r="C37" s="52">
        <v>16711</v>
      </c>
      <c r="D37" s="52">
        <f t="shared" si="9"/>
        <v>7411</v>
      </c>
      <c r="E37" s="18">
        <f t="shared" si="1"/>
        <v>0.796881720430108</v>
      </c>
      <c r="F37" s="21" t="s">
        <v>329</v>
      </c>
      <c r="G37" s="52">
        <f>B5</f>
        <v>100500</v>
      </c>
      <c r="H37" s="52">
        <f>C5</f>
        <v>122168</v>
      </c>
      <c r="I37" s="52">
        <f>H37-G37</f>
        <v>21668</v>
      </c>
      <c r="J37" s="18">
        <f t="shared" ref="J37:J43" si="10">I37/G37</f>
        <v>0.215601990049751</v>
      </c>
      <c r="K37" s="42" t="s">
        <v>408</v>
      </c>
      <c r="L37" s="51">
        <v>63</v>
      </c>
      <c r="M37" s="51">
        <v>78</v>
      </c>
      <c r="N37" s="51">
        <f t="shared" si="8"/>
        <v>15</v>
      </c>
      <c r="O37" s="5">
        <f t="shared" si="7"/>
        <v>0.238095238095238</v>
      </c>
    </row>
    <row r="38" ht="17.25" customHeight="1" spans="1:15">
      <c r="A38" s="33" t="s">
        <v>407</v>
      </c>
      <c r="B38" s="52">
        <v>1133</v>
      </c>
      <c r="C38" s="52">
        <v>2400</v>
      </c>
      <c r="D38" s="52">
        <f t="shared" si="9"/>
        <v>1267</v>
      </c>
      <c r="E38" s="18">
        <f t="shared" si="1"/>
        <v>1.11827007943513</v>
      </c>
      <c r="F38" s="34" t="s">
        <v>359</v>
      </c>
      <c r="G38" s="52">
        <f>SUM(G39:G42)</f>
        <v>55055</v>
      </c>
      <c r="H38" s="52">
        <f>SUM(H39:H42)</f>
        <v>55967</v>
      </c>
      <c r="I38" s="85">
        <f>SUM(I39:I42)</f>
        <v>911.5</v>
      </c>
      <c r="J38" s="18">
        <f t="shared" si="10"/>
        <v>0.0165561711016256</v>
      </c>
      <c r="K38" s="42" t="s">
        <v>409</v>
      </c>
      <c r="L38" s="51">
        <v>50</v>
      </c>
      <c r="M38" s="51">
        <v>475</v>
      </c>
      <c r="N38" s="51">
        <f t="shared" si="8"/>
        <v>425</v>
      </c>
      <c r="O38" s="5">
        <f t="shared" si="7"/>
        <v>8.5</v>
      </c>
    </row>
    <row r="39" ht="17.25" customHeight="1" spans="1:15">
      <c r="A39" s="33" t="s">
        <v>192</v>
      </c>
      <c r="B39" s="52">
        <v>1850</v>
      </c>
      <c r="C39" s="52">
        <v>1450</v>
      </c>
      <c r="D39" s="52"/>
      <c r="E39" s="18"/>
      <c r="F39" s="35" t="s">
        <v>361</v>
      </c>
      <c r="G39" s="51">
        <f>B8*3</f>
        <v>35388</v>
      </c>
      <c r="H39" s="51">
        <f>C8*3</f>
        <v>35691</v>
      </c>
      <c r="I39" s="51">
        <f>H39-G39</f>
        <v>303</v>
      </c>
      <c r="J39" s="5">
        <f t="shared" si="10"/>
        <v>0.00856222448287555</v>
      </c>
      <c r="K39" s="42" t="s">
        <v>410</v>
      </c>
      <c r="L39" s="51">
        <v>966</v>
      </c>
      <c r="M39" s="51">
        <v>871</v>
      </c>
      <c r="N39" s="51">
        <f t="shared" si="8"/>
        <v>-95</v>
      </c>
      <c r="O39" s="5">
        <f t="shared" si="7"/>
        <v>-0.098343685300207</v>
      </c>
    </row>
    <row r="40" ht="17.25" customHeight="1" spans="1:15">
      <c r="A40" s="33"/>
      <c r="B40" s="52"/>
      <c r="C40" s="52"/>
      <c r="D40" s="52"/>
      <c r="E40" s="18"/>
      <c r="F40" s="35" t="s">
        <v>117</v>
      </c>
      <c r="G40" s="51">
        <f>B11*1.5</f>
        <v>14316</v>
      </c>
      <c r="H40" s="51">
        <f>C11*1.5-0.5</f>
        <v>14971</v>
      </c>
      <c r="I40" s="51">
        <f>H40-G40</f>
        <v>655</v>
      </c>
      <c r="J40" s="5">
        <f t="shared" si="10"/>
        <v>0.0457530036322995</v>
      </c>
      <c r="K40" s="42" t="s">
        <v>411</v>
      </c>
      <c r="L40" s="51">
        <v>422</v>
      </c>
      <c r="M40" s="51">
        <v>444</v>
      </c>
      <c r="N40" s="51">
        <f t="shared" si="8"/>
        <v>22</v>
      </c>
      <c r="O40" s="5">
        <f t="shared" si="7"/>
        <v>0.0521327014218009</v>
      </c>
    </row>
    <row r="41" ht="17.25" customHeight="1" spans="1:15">
      <c r="A41" s="33"/>
      <c r="B41" s="52"/>
      <c r="C41" s="52"/>
      <c r="D41" s="52"/>
      <c r="E41" s="18"/>
      <c r="F41" s="35" t="s">
        <v>118</v>
      </c>
      <c r="G41" s="51">
        <f>B12*1.5</f>
        <v>5148</v>
      </c>
      <c r="H41" s="51">
        <f>C12*1.5</f>
        <v>5100</v>
      </c>
      <c r="I41" s="51">
        <f>H41-G41-0.5</f>
        <v>-48.5</v>
      </c>
      <c r="J41" s="5">
        <f t="shared" si="10"/>
        <v>-0.00942113442113442</v>
      </c>
      <c r="K41" s="21" t="s">
        <v>412</v>
      </c>
      <c r="L41" s="41">
        <v>528</v>
      </c>
      <c r="M41" s="41">
        <v>268</v>
      </c>
      <c r="N41" s="41">
        <f t="shared" si="8"/>
        <v>-260</v>
      </c>
      <c r="O41" s="18">
        <f t="shared" si="7"/>
        <v>-0.492424242424242</v>
      </c>
    </row>
    <row r="42" ht="17.25" customHeight="1" spans="1:15">
      <c r="A42" s="1"/>
      <c r="B42" s="51"/>
      <c r="C42" s="51"/>
      <c r="D42" s="51"/>
      <c r="E42" s="18"/>
      <c r="F42" s="35" t="s">
        <v>314</v>
      </c>
      <c r="G42" s="51">
        <v>203</v>
      </c>
      <c r="H42" s="51">
        <v>205</v>
      </c>
      <c r="I42" s="51">
        <f>H42-G42</f>
        <v>2</v>
      </c>
      <c r="J42" s="5">
        <f t="shared" si="10"/>
        <v>0.00985221674876847</v>
      </c>
      <c r="K42" s="21" t="s">
        <v>268</v>
      </c>
      <c r="L42" s="52">
        <v>7137</v>
      </c>
      <c r="M42" s="52">
        <v>7267</v>
      </c>
      <c r="N42" s="52">
        <f t="shared" si="8"/>
        <v>130</v>
      </c>
      <c r="O42" s="18">
        <f t="shared" si="7"/>
        <v>0.0182149362477231</v>
      </c>
    </row>
    <row r="43" ht="18" customHeight="1" spans="1:15">
      <c r="A43" s="28" t="s">
        <v>124</v>
      </c>
      <c r="B43" s="52">
        <f>SUM(B5,B33,B37:B39)</f>
        <v>198131</v>
      </c>
      <c r="C43" s="52">
        <f>SUM(C5,C33,C37:C39)</f>
        <v>237369</v>
      </c>
      <c r="D43" s="52">
        <f>SUM(D5,D33,D37:D38)</f>
        <v>39638</v>
      </c>
      <c r="E43" s="18">
        <f>D43/B43</f>
        <v>0.200059556556016</v>
      </c>
      <c r="F43" s="36" t="s">
        <v>363</v>
      </c>
      <c r="G43" s="52">
        <f>SUM(G37:G38)</f>
        <v>155555</v>
      </c>
      <c r="H43" s="52">
        <f>SUM(H37:H38)</f>
        <v>178135</v>
      </c>
      <c r="I43" s="85">
        <f>SUM(I37:I38)</f>
        <v>22579.5</v>
      </c>
      <c r="J43" s="18">
        <f t="shared" si="10"/>
        <v>0.145154446980168</v>
      </c>
      <c r="K43" s="21" t="s">
        <v>91</v>
      </c>
      <c r="L43" s="52">
        <f>SUM(L21,L41:L42)</f>
        <v>104434</v>
      </c>
      <c r="M43" s="52">
        <f>SUM(M21,M41:M42)</f>
        <v>124403</v>
      </c>
      <c r="N43" s="52">
        <f>SUM(N21,N41:N42)</f>
        <v>19969</v>
      </c>
      <c r="O43" s="18">
        <f t="shared" si="7"/>
        <v>0.191211674358925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9:O19"/>
    <mergeCell ref="F35:J35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F7" sqref="F7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426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49" t="s">
        <v>292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329</v>
      </c>
      <c r="B5" s="52">
        <f>SUM(B6,B22)</f>
        <v>115000</v>
      </c>
      <c r="C5" s="52">
        <f>SUM(C6,C22)</f>
        <v>119000</v>
      </c>
      <c r="D5" s="52">
        <f>SUM(D6,D22)</f>
        <v>122168</v>
      </c>
      <c r="E5" s="18">
        <f t="shared" ref="E5:E32" si="0">D5/C5</f>
        <v>1.0266218487395</v>
      </c>
      <c r="F5" s="21" t="s">
        <v>330</v>
      </c>
      <c r="G5" s="19">
        <f>SUM(G6:G24)</f>
        <v>134346</v>
      </c>
      <c r="H5" s="19">
        <f>SUM(H6:H24)</f>
        <v>232347</v>
      </c>
      <c r="I5" s="19">
        <f>SUM(I6:I24)</f>
        <v>212397</v>
      </c>
      <c r="J5" s="18">
        <f t="shared" ref="J5:J24" si="1">I5/H5</f>
        <v>0.914137045023176</v>
      </c>
      <c r="K5" s="16" t="s">
        <v>133</v>
      </c>
      <c r="L5" s="19">
        <f>SUM(L6:L15)</f>
        <v>53000</v>
      </c>
      <c r="M5" s="19">
        <f>SUM(M6:M15)</f>
        <v>100000</v>
      </c>
      <c r="N5" s="19">
        <f>SUM(N6:N15)</f>
        <v>107640</v>
      </c>
      <c r="O5" s="18">
        <f t="shared" ref="O5:O15" si="2">N5/M5</f>
        <v>1.0764</v>
      </c>
    </row>
    <row r="6" ht="16.5" customHeight="1" spans="1:15">
      <c r="A6" s="21" t="s">
        <v>15</v>
      </c>
      <c r="B6" s="52">
        <f>SUM(B7,B10:B21)</f>
        <v>74700</v>
      </c>
      <c r="C6" s="52">
        <f>SUM(C7,C10:C21)</f>
        <v>73800</v>
      </c>
      <c r="D6" s="52">
        <f>SUM(D7,D10:D21)</f>
        <v>76682</v>
      </c>
      <c r="E6" s="18">
        <f t="shared" si="0"/>
        <v>1.03905149051491</v>
      </c>
      <c r="F6" s="1" t="s">
        <v>228</v>
      </c>
      <c r="G6" s="22">
        <v>28811</v>
      </c>
      <c r="H6" s="22">
        <v>34242</v>
      </c>
      <c r="I6" s="22">
        <v>33931</v>
      </c>
      <c r="J6" s="60">
        <f t="shared" si="1"/>
        <v>0.990917586589568</v>
      </c>
      <c r="K6" s="42" t="s">
        <v>331</v>
      </c>
      <c r="L6" s="22">
        <v>300</v>
      </c>
      <c r="M6" s="22">
        <v>300</v>
      </c>
      <c r="N6" s="51">
        <v>241</v>
      </c>
      <c r="O6" s="5">
        <f t="shared" si="2"/>
        <v>0.803333333333333</v>
      </c>
    </row>
    <row r="7" ht="16.5" customHeight="1" spans="1:15">
      <c r="A7" s="1" t="s">
        <v>18</v>
      </c>
      <c r="B7" s="51">
        <f>SUM(B8:B9)</f>
        <v>14272</v>
      </c>
      <c r="C7" s="51">
        <f>SUM(C8:C9)</f>
        <v>12520</v>
      </c>
      <c r="D7" s="51">
        <f>SUM(D8:D9)</f>
        <v>12619</v>
      </c>
      <c r="E7" s="5">
        <f t="shared" si="0"/>
        <v>1.00790734824281</v>
      </c>
      <c r="F7" s="1" t="s">
        <v>229</v>
      </c>
      <c r="G7" s="22">
        <v>381</v>
      </c>
      <c r="H7" s="22">
        <v>458</v>
      </c>
      <c r="I7" s="22">
        <v>458</v>
      </c>
      <c r="J7" s="60">
        <f t="shared" si="1"/>
        <v>1</v>
      </c>
      <c r="K7" s="42" t="s">
        <v>332</v>
      </c>
      <c r="L7" s="22">
        <v>150</v>
      </c>
      <c r="M7" s="22">
        <v>250</v>
      </c>
      <c r="N7" s="51">
        <v>237</v>
      </c>
      <c r="O7" s="5">
        <f t="shared" si="2"/>
        <v>0.948</v>
      </c>
    </row>
    <row r="8" ht="16.5" customHeight="1" spans="1:15">
      <c r="A8" s="1" t="s">
        <v>297</v>
      </c>
      <c r="B8" s="51">
        <v>13972</v>
      </c>
      <c r="C8" s="51">
        <v>11885</v>
      </c>
      <c r="D8" s="51">
        <v>11897</v>
      </c>
      <c r="E8" s="5">
        <f t="shared" si="0"/>
        <v>1.00100967606226</v>
      </c>
      <c r="F8" s="1" t="s">
        <v>231</v>
      </c>
      <c r="G8" s="51">
        <v>8626</v>
      </c>
      <c r="H8" s="22">
        <v>13408</v>
      </c>
      <c r="I8" s="22">
        <v>13158</v>
      </c>
      <c r="J8" s="60">
        <f t="shared" si="1"/>
        <v>0.981354415274463</v>
      </c>
      <c r="K8" s="42" t="s">
        <v>333</v>
      </c>
      <c r="L8" s="22">
        <v>47000</v>
      </c>
      <c r="M8" s="22">
        <v>89800</v>
      </c>
      <c r="N8" s="51">
        <v>96543</v>
      </c>
      <c r="O8" s="5">
        <f t="shared" si="2"/>
        <v>1.07508908685969</v>
      </c>
    </row>
    <row r="9" ht="16.5" customHeight="1" spans="1:15">
      <c r="A9" s="1" t="s">
        <v>299</v>
      </c>
      <c r="B9" s="51">
        <v>300</v>
      </c>
      <c r="C9" s="51">
        <v>635</v>
      </c>
      <c r="D9" s="51">
        <v>722</v>
      </c>
      <c r="E9" s="5">
        <f t="shared" si="0"/>
        <v>1.13700787401575</v>
      </c>
      <c r="F9" s="1" t="s">
        <v>233</v>
      </c>
      <c r="G9" s="51">
        <v>52285</v>
      </c>
      <c r="H9" s="22">
        <v>56234</v>
      </c>
      <c r="I9" s="22">
        <v>55218</v>
      </c>
      <c r="J9" s="60">
        <f t="shared" si="1"/>
        <v>0.981932638617207</v>
      </c>
      <c r="K9" s="42" t="s">
        <v>334</v>
      </c>
      <c r="L9" s="22">
        <v>600</v>
      </c>
      <c r="M9" s="22">
        <v>650</v>
      </c>
      <c r="N9" s="51">
        <v>787</v>
      </c>
      <c r="O9" s="5">
        <f t="shared" si="2"/>
        <v>1.21076923076923</v>
      </c>
    </row>
    <row r="10" ht="16.5" customHeight="1" spans="1:15">
      <c r="A10" s="1" t="s">
        <v>301</v>
      </c>
      <c r="B10" s="51">
        <v>24825</v>
      </c>
      <c r="C10" s="51">
        <v>24825</v>
      </c>
      <c r="D10" s="51">
        <v>26496</v>
      </c>
      <c r="E10" s="5">
        <f t="shared" si="0"/>
        <v>1.06731117824773</v>
      </c>
      <c r="F10" s="1" t="s">
        <v>235</v>
      </c>
      <c r="G10" s="51">
        <v>1831</v>
      </c>
      <c r="H10" s="51">
        <v>2415</v>
      </c>
      <c r="I10" s="22">
        <v>2251</v>
      </c>
      <c r="J10" s="60">
        <f t="shared" si="1"/>
        <v>0.932091097308489</v>
      </c>
      <c r="K10" s="42" t="s">
        <v>388</v>
      </c>
      <c r="L10" s="22">
        <v>2800</v>
      </c>
      <c r="M10" s="22">
        <v>5000</v>
      </c>
      <c r="N10" s="51">
        <v>5611</v>
      </c>
      <c r="O10" s="5">
        <f t="shared" si="2"/>
        <v>1.1222</v>
      </c>
    </row>
    <row r="11" ht="16.5" customHeight="1" spans="1:15">
      <c r="A11" s="1" t="s">
        <v>30</v>
      </c>
      <c r="B11" s="51">
        <v>12395</v>
      </c>
      <c r="C11" s="51">
        <v>11157</v>
      </c>
      <c r="D11" s="51">
        <v>9981</v>
      </c>
      <c r="E11" s="5">
        <f t="shared" si="0"/>
        <v>0.894595321322936</v>
      </c>
      <c r="F11" s="1" t="s">
        <v>237</v>
      </c>
      <c r="G11" s="51">
        <v>2152</v>
      </c>
      <c r="H11" s="51">
        <v>3006</v>
      </c>
      <c r="I11" s="22">
        <v>2896</v>
      </c>
      <c r="J11" s="60">
        <f t="shared" si="1"/>
        <v>0.963406520292748</v>
      </c>
      <c r="K11" s="42" t="s">
        <v>389</v>
      </c>
      <c r="L11" s="22">
        <v>200</v>
      </c>
      <c r="M11" s="22">
        <v>300</v>
      </c>
      <c r="N11" s="51">
        <v>161</v>
      </c>
      <c r="O11" s="5">
        <f t="shared" si="2"/>
        <v>0.536666666666667</v>
      </c>
    </row>
    <row r="12" ht="16.5" customHeight="1" spans="1:15">
      <c r="A12" s="1" t="s">
        <v>33</v>
      </c>
      <c r="B12" s="51">
        <v>3700</v>
      </c>
      <c r="C12" s="51">
        <v>3790</v>
      </c>
      <c r="D12" s="51">
        <v>3400</v>
      </c>
      <c r="E12" s="5">
        <f t="shared" si="0"/>
        <v>0.897097625329815</v>
      </c>
      <c r="F12" s="1" t="s">
        <v>239</v>
      </c>
      <c r="G12" s="51">
        <v>5653</v>
      </c>
      <c r="H12" s="51">
        <v>14362</v>
      </c>
      <c r="I12" s="22">
        <v>14247</v>
      </c>
      <c r="J12" s="60">
        <f t="shared" si="1"/>
        <v>0.991992758668709</v>
      </c>
      <c r="K12" s="42" t="s">
        <v>390</v>
      </c>
      <c r="L12" s="22">
        <v>1000</v>
      </c>
      <c r="M12" s="22">
        <v>2000</v>
      </c>
      <c r="N12" s="51">
        <v>2051</v>
      </c>
      <c r="O12" s="5">
        <f t="shared" si="2"/>
        <v>1.0255</v>
      </c>
    </row>
    <row r="13" ht="16.5" customHeight="1" spans="1:15">
      <c r="A13" s="1" t="s">
        <v>36</v>
      </c>
      <c r="B13" s="68">
        <v>2500</v>
      </c>
      <c r="C13" s="68">
        <v>1700</v>
      </c>
      <c r="D13" s="51">
        <v>1976</v>
      </c>
      <c r="E13" s="5">
        <f t="shared" si="0"/>
        <v>1.16235294117647</v>
      </c>
      <c r="F13" s="1" t="s">
        <v>273</v>
      </c>
      <c r="G13" s="51">
        <v>9397</v>
      </c>
      <c r="H13" s="51">
        <v>22643</v>
      </c>
      <c r="I13" s="22">
        <v>22162</v>
      </c>
      <c r="J13" s="61">
        <f t="shared" si="1"/>
        <v>0.978757231815572</v>
      </c>
      <c r="K13" s="42" t="s">
        <v>391</v>
      </c>
      <c r="L13" s="22">
        <v>250</v>
      </c>
      <c r="M13" s="22">
        <v>200</v>
      </c>
      <c r="N13" s="51">
        <v>280</v>
      </c>
      <c r="O13" s="5">
        <f t="shared" si="2"/>
        <v>1.4</v>
      </c>
    </row>
    <row r="14" ht="16.5" customHeight="1" spans="1:15">
      <c r="A14" s="1" t="s">
        <v>39</v>
      </c>
      <c r="B14" s="68">
        <v>4050</v>
      </c>
      <c r="C14" s="68">
        <v>3200</v>
      </c>
      <c r="D14" s="51">
        <v>3435</v>
      </c>
      <c r="E14" s="5">
        <f t="shared" si="0"/>
        <v>1.0734375</v>
      </c>
      <c r="F14" s="1" t="s">
        <v>241</v>
      </c>
      <c r="G14" s="51">
        <v>658</v>
      </c>
      <c r="H14" s="51">
        <v>8880</v>
      </c>
      <c r="I14" s="22">
        <v>8182</v>
      </c>
      <c r="J14" s="60">
        <f t="shared" si="1"/>
        <v>0.921396396396396</v>
      </c>
      <c r="K14" s="42" t="s">
        <v>392</v>
      </c>
      <c r="L14" s="22">
        <v>500</v>
      </c>
      <c r="M14" s="22">
        <v>1200</v>
      </c>
      <c r="N14" s="51">
        <v>1377</v>
      </c>
      <c r="O14" s="5">
        <f t="shared" si="2"/>
        <v>1.1475</v>
      </c>
    </row>
    <row r="15" ht="16.5" customHeight="1" spans="1:15">
      <c r="A15" s="1" t="s">
        <v>42</v>
      </c>
      <c r="B15" s="68">
        <v>1400</v>
      </c>
      <c r="C15" s="68">
        <v>2100</v>
      </c>
      <c r="D15" s="51">
        <v>2121</v>
      </c>
      <c r="E15" s="5">
        <f t="shared" si="0"/>
        <v>1.01</v>
      </c>
      <c r="F15" s="1" t="s">
        <v>274</v>
      </c>
      <c r="G15" s="51">
        <v>2291</v>
      </c>
      <c r="H15" s="51">
        <v>4265</v>
      </c>
      <c r="I15" s="22">
        <v>3807</v>
      </c>
      <c r="J15" s="60">
        <f t="shared" si="1"/>
        <v>0.892614302461899</v>
      </c>
      <c r="K15" s="42" t="s">
        <v>427</v>
      </c>
      <c r="L15" s="22">
        <v>200</v>
      </c>
      <c r="M15" s="22">
        <v>300</v>
      </c>
      <c r="N15" s="51">
        <v>352</v>
      </c>
      <c r="O15" s="5">
        <f t="shared" si="2"/>
        <v>1.17333333333333</v>
      </c>
    </row>
    <row r="16" ht="16.5" customHeight="1" spans="1:15">
      <c r="A16" s="1" t="s">
        <v>45</v>
      </c>
      <c r="B16" s="68">
        <v>1100</v>
      </c>
      <c r="C16" s="68">
        <v>850</v>
      </c>
      <c r="D16" s="51">
        <v>901</v>
      </c>
      <c r="E16" s="5">
        <f t="shared" si="0"/>
        <v>1.06</v>
      </c>
      <c r="F16" s="1" t="s">
        <v>275</v>
      </c>
      <c r="G16" s="51">
        <v>11037</v>
      </c>
      <c r="H16" s="51">
        <v>39678</v>
      </c>
      <c r="I16" s="22">
        <v>33109</v>
      </c>
      <c r="J16" s="60">
        <f t="shared" si="1"/>
        <v>0.834442260194566</v>
      </c>
      <c r="K16" s="21" t="s">
        <v>32</v>
      </c>
      <c r="L16" s="22"/>
      <c r="M16" s="22"/>
      <c r="N16" s="19">
        <v>9626</v>
      </c>
      <c r="O16" s="4"/>
    </row>
    <row r="17" ht="16.5" customHeight="1" spans="1:15">
      <c r="A17" s="1" t="s">
        <v>47</v>
      </c>
      <c r="B17" s="68">
        <v>1108</v>
      </c>
      <c r="C17" s="68">
        <v>3800</v>
      </c>
      <c r="D17" s="51">
        <v>3719</v>
      </c>
      <c r="E17" s="5">
        <f t="shared" si="0"/>
        <v>0.978684210526316</v>
      </c>
      <c r="F17" s="1" t="s">
        <v>244</v>
      </c>
      <c r="G17" s="51">
        <v>1224</v>
      </c>
      <c r="H17" s="22">
        <v>6460</v>
      </c>
      <c r="I17" s="22">
        <v>6226</v>
      </c>
      <c r="J17" s="60">
        <f t="shared" si="1"/>
        <v>0.963777089783282</v>
      </c>
      <c r="K17" s="21" t="s">
        <v>35</v>
      </c>
      <c r="L17" s="19"/>
      <c r="M17" s="19"/>
      <c r="N17" s="19">
        <v>7137</v>
      </c>
      <c r="O17" s="45"/>
    </row>
    <row r="18" ht="16.5" customHeight="1" spans="1:15">
      <c r="A18" s="1" t="s">
        <v>50</v>
      </c>
      <c r="B18" s="68">
        <v>1800</v>
      </c>
      <c r="C18" s="68">
        <v>2308</v>
      </c>
      <c r="D18" s="51">
        <v>3002</v>
      </c>
      <c r="E18" s="5">
        <f t="shared" si="0"/>
        <v>1.30069324090121</v>
      </c>
      <c r="F18" s="1" t="s">
        <v>276</v>
      </c>
      <c r="G18" s="51">
        <v>3817</v>
      </c>
      <c r="H18" s="22">
        <v>8816</v>
      </c>
      <c r="I18" s="22">
        <v>8665</v>
      </c>
      <c r="J18" s="60">
        <f t="shared" si="1"/>
        <v>0.982872050816697</v>
      </c>
      <c r="K18" s="46" t="s">
        <v>41</v>
      </c>
      <c r="L18" s="19">
        <f>SUM(L17,L16,L5)</f>
        <v>53000</v>
      </c>
      <c r="M18" s="19">
        <f>SUM(M17,M16,M5)</f>
        <v>100000</v>
      </c>
      <c r="N18" s="19">
        <f>SUM(N17,N16,N5)</f>
        <v>124403</v>
      </c>
      <c r="O18" s="4"/>
    </row>
    <row r="19" ht="16.5" customHeight="1" spans="1:15">
      <c r="A19" s="1" t="s">
        <v>53</v>
      </c>
      <c r="B19" s="68">
        <v>900</v>
      </c>
      <c r="C19" s="68">
        <v>900</v>
      </c>
      <c r="D19" s="51">
        <v>905</v>
      </c>
      <c r="E19" s="5">
        <f t="shared" si="0"/>
        <v>1.00555555555556</v>
      </c>
      <c r="F19" s="1" t="s">
        <v>277</v>
      </c>
      <c r="G19" s="51">
        <v>897</v>
      </c>
      <c r="H19" s="22">
        <v>3021</v>
      </c>
      <c r="I19" s="22">
        <v>2744</v>
      </c>
      <c r="J19" s="60">
        <f t="shared" si="1"/>
        <v>0.908308507116849</v>
      </c>
      <c r="K19" s="49" t="s">
        <v>306</v>
      </c>
      <c r="L19" s="49"/>
      <c r="M19" s="49"/>
      <c r="N19" s="49"/>
      <c r="O19" s="49"/>
    </row>
    <row r="20" ht="16.5" customHeight="1" spans="1:15">
      <c r="A20" s="1" t="s">
        <v>247</v>
      </c>
      <c r="B20" s="51">
        <v>3500</v>
      </c>
      <c r="C20" s="51">
        <v>2700</v>
      </c>
      <c r="D20" s="51">
        <v>2947</v>
      </c>
      <c r="E20" s="5">
        <f t="shared" si="0"/>
        <v>1.09148148148148</v>
      </c>
      <c r="F20" s="1" t="s">
        <v>278</v>
      </c>
      <c r="G20" s="51">
        <v>1013</v>
      </c>
      <c r="H20" s="22">
        <v>2332</v>
      </c>
      <c r="I20" s="22">
        <v>1568</v>
      </c>
      <c r="J20" s="60">
        <f t="shared" si="1"/>
        <v>0.672384219554031</v>
      </c>
      <c r="K20" s="15" t="s">
        <v>6</v>
      </c>
      <c r="L20" s="15" t="s">
        <v>129</v>
      </c>
      <c r="M20" s="15" t="s">
        <v>130</v>
      </c>
      <c r="N20" s="15" t="s">
        <v>131</v>
      </c>
      <c r="O20" s="15" t="s">
        <v>132</v>
      </c>
    </row>
    <row r="21" ht="16.5" customHeight="1" spans="1:15">
      <c r="A21" s="1" t="s">
        <v>250</v>
      </c>
      <c r="B21" s="51">
        <v>3150</v>
      </c>
      <c r="C21" s="51">
        <v>3950</v>
      </c>
      <c r="D21" s="51">
        <v>5180</v>
      </c>
      <c r="E21" s="5">
        <f t="shared" si="0"/>
        <v>1.31139240506329</v>
      </c>
      <c r="F21" s="1" t="s">
        <v>279</v>
      </c>
      <c r="G21" s="51"/>
      <c r="H21" s="22">
        <v>2789</v>
      </c>
      <c r="I21" s="22">
        <v>2288</v>
      </c>
      <c r="J21" s="60">
        <f t="shared" si="1"/>
        <v>0.820365722481176</v>
      </c>
      <c r="K21" s="16" t="s">
        <v>144</v>
      </c>
      <c r="L21" s="52">
        <f>SUM(L22:L40)</f>
        <v>53000</v>
      </c>
      <c r="M21" s="52">
        <f>SUM(M22:M40)</f>
        <v>124135</v>
      </c>
      <c r="N21" s="52">
        <f>SUM(N22:N40)</f>
        <v>116868</v>
      </c>
      <c r="O21" s="18">
        <f t="shared" ref="O21:O40" si="3">N21/M21</f>
        <v>0.941458895557256</v>
      </c>
    </row>
    <row r="22" ht="16.5" customHeight="1" spans="1:15">
      <c r="A22" s="21" t="s">
        <v>68</v>
      </c>
      <c r="B22" s="52">
        <f>SUM(B23,B28:B32)</f>
        <v>40300</v>
      </c>
      <c r="C22" s="52">
        <f>SUM(C23,C28:C32)</f>
        <v>45200</v>
      </c>
      <c r="D22" s="52">
        <f>SUM(D23,D28:D32)</f>
        <v>45486</v>
      </c>
      <c r="E22" s="18">
        <f t="shared" si="0"/>
        <v>1.00632743362832</v>
      </c>
      <c r="F22" s="1" t="s">
        <v>281</v>
      </c>
      <c r="G22" s="51">
        <v>1173</v>
      </c>
      <c r="H22" s="22">
        <v>1223</v>
      </c>
      <c r="I22" s="22">
        <v>1213</v>
      </c>
      <c r="J22" s="60">
        <f t="shared" si="1"/>
        <v>0.991823385118561</v>
      </c>
      <c r="K22" s="42" t="s">
        <v>341</v>
      </c>
      <c r="L22" s="22"/>
      <c r="M22" s="22">
        <v>1475</v>
      </c>
      <c r="N22" s="51">
        <v>1322</v>
      </c>
      <c r="O22" s="18">
        <f t="shared" si="3"/>
        <v>0.896271186440678</v>
      </c>
    </row>
    <row r="23" ht="16.5" customHeight="1" spans="1:15">
      <c r="A23" s="21" t="s">
        <v>71</v>
      </c>
      <c r="B23" s="52">
        <f>SUM(B24:B27)</f>
        <v>2455</v>
      </c>
      <c r="C23" s="52">
        <f>SUM(C24:C27)</f>
        <v>2455</v>
      </c>
      <c r="D23" s="52">
        <f>SUM(D24:D27)</f>
        <v>2438</v>
      </c>
      <c r="E23" s="18">
        <f t="shared" si="0"/>
        <v>0.993075356415479</v>
      </c>
      <c r="F23" s="1" t="s">
        <v>416</v>
      </c>
      <c r="G23" s="51"/>
      <c r="H23" s="22">
        <v>107</v>
      </c>
      <c r="I23" s="22">
        <v>107</v>
      </c>
      <c r="J23" s="60">
        <f t="shared" si="1"/>
        <v>1</v>
      </c>
      <c r="K23" s="42" t="s">
        <v>342</v>
      </c>
      <c r="L23" s="22"/>
      <c r="M23" s="22">
        <v>47</v>
      </c>
      <c r="N23" s="51">
        <v>47</v>
      </c>
      <c r="O23" s="5">
        <f t="shared" si="3"/>
        <v>1</v>
      </c>
    </row>
    <row r="24" ht="16.5" customHeight="1" spans="1:15">
      <c r="A24" s="1" t="s">
        <v>398</v>
      </c>
      <c r="B24" s="51">
        <v>125</v>
      </c>
      <c r="C24" s="51">
        <v>125</v>
      </c>
      <c r="D24" s="51">
        <v>135</v>
      </c>
      <c r="E24" s="5">
        <f t="shared" si="0"/>
        <v>1.08</v>
      </c>
      <c r="F24" s="1" t="s">
        <v>257</v>
      </c>
      <c r="G24" s="51">
        <v>3100</v>
      </c>
      <c r="H24" s="22">
        <v>8008</v>
      </c>
      <c r="I24" s="22">
        <v>167</v>
      </c>
      <c r="J24" s="80">
        <f t="shared" si="1"/>
        <v>0.0208541458541459</v>
      </c>
      <c r="K24" s="81" t="s">
        <v>417</v>
      </c>
      <c r="L24" s="22"/>
      <c r="M24" s="22">
        <f>613+70</f>
        <v>683</v>
      </c>
      <c r="N24" s="51">
        <f>538+70</f>
        <v>608</v>
      </c>
      <c r="O24" s="5">
        <f t="shared" si="3"/>
        <v>0.890190336749634</v>
      </c>
    </row>
    <row r="25" ht="16.5" customHeight="1" spans="1:15">
      <c r="A25" s="1" t="s">
        <v>310</v>
      </c>
      <c r="B25" s="51">
        <v>220</v>
      </c>
      <c r="C25" s="51">
        <v>220</v>
      </c>
      <c r="D25" s="51">
        <v>228</v>
      </c>
      <c r="E25" s="5">
        <f t="shared" si="0"/>
        <v>1.03636363636364</v>
      </c>
      <c r="F25" s="26" t="s">
        <v>78</v>
      </c>
      <c r="G25" s="69">
        <f>SUM(G26:G27)</f>
        <v>717</v>
      </c>
      <c r="H25" s="69">
        <f>SUM(H26:H27)</f>
        <v>717</v>
      </c>
      <c r="I25" s="69">
        <f>SUM(I26:I27)</f>
        <v>1932</v>
      </c>
      <c r="J25" s="5"/>
      <c r="K25" s="42" t="s">
        <v>344</v>
      </c>
      <c r="L25" s="22">
        <v>300</v>
      </c>
      <c r="M25" s="22">
        <v>377</v>
      </c>
      <c r="N25" s="51">
        <v>355</v>
      </c>
      <c r="O25" s="5">
        <f t="shared" si="3"/>
        <v>0.941644562334218</v>
      </c>
    </row>
    <row r="26" ht="16.5" customHeight="1" spans="1:15">
      <c r="A26" s="1" t="s">
        <v>312</v>
      </c>
      <c r="B26" s="51">
        <v>2000</v>
      </c>
      <c r="C26" s="51">
        <v>2000</v>
      </c>
      <c r="D26" s="51">
        <v>1844</v>
      </c>
      <c r="E26" s="5">
        <f t="shared" si="0"/>
        <v>0.922</v>
      </c>
      <c r="F26" s="1" t="s">
        <v>81</v>
      </c>
      <c r="G26" s="51">
        <v>417</v>
      </c>
      <c r="H26" s="22">
        <v>417</v>
      </c>
      <c r="I26" s="22">
        <v>417</v>
      </c>
      <c r="J26" s="5"/>
      <c r="K26" s="42" t="s">
        <v>346</v>
      </c>
      <c r="L26" s="22">
        <v>150</v>
      </c>
      <c r="M26" s="22">
        <v>1123</v>
      </c>
      <c r="N26" s="51">
        <v>837</v>
      </c>
      <c r="O26" s="5">
        <f t="shared" si="3"/>
        <v>0.745325022261799</v>
      </c>
    </row>
    <row r="27" ht="16.5" customHeight="1" spans="1:15">
      <c r="A27" s="25" t="s">
        <v>345</v>
      </c>
      <c r="B27" s="51">
        <v>110</v>
      </c>
      <c r="C27" s="51">
        <v>110</v>
      </c>
      <c r="D27" s="51">
        <v>231</v>
      </c>
      <c r="E27" s="5">
        <f t="shared" si="0"/>
        <v>2.1</v>
      </c>
      <c r="F27" s="1" t="s">
        <v>84</v>
      </c>
      <c r="G27" s="71">
        <v>300</v>
      </c>
      <c r="H27" s="22">
        <v>300</v>
      </c>
      <c r="I27" s="22">
        <v>1515</v>
      </c>
      <c r="J27" s="5"/>
      <c r="K27" s="81" t="s">
        <v>418</v>
      </c>
      <c r="L27" s="22">
        <v>47000</v>
      </c>
      <c r="M27" s="22">
        <v>100346</v>
      </c>
      <c r="N27" s="51">
        <v>99075</v>
      </c>
      <c r="O27" s="5">
        <f t="shared" si="3"/>
        <v>0.987333824965619</v>
      </c>
    </row>
    <row r="28" ht="16.5" customHeight="1" spans="1:15">
      <c r="A28" s="1" t="s">
        <v>77</v>
      </c>
      <c r="B28" s="51">
        <v>14300</v>
      </c>
      <c r="C28" s="51">
        <v>14700</v>
      </c>
      <c r="D28" s="51">
        <v>13351</v>
      </c>
      <c r="E28" s="5">
        <f t="shared" si="0"/>
        <v>0.908231292517007</v>
      </c>
      <c r="F28" s="26" t="s">
        <v>400</v>
      </c>
      <c r="G28" s="72">
        <v>1450</v>
      </c>
      <c r="H28" s="22"/>
      <c r="I28" s="19">
        <v>1450</v>
      </c>
      <c r="J28" s="5"/>
      <c r="K28" s="42" t="s">
        <v>348</v>
      </c>
      <c r="L28" s="22">
        <v>600</v>
      </c>
      <c r="M28" s="22">
        <v>880</v>
      </c>
      <c r="N28" s="51">
        <v>608</v>
      </c>
      <c r="O28" s="5">
        <f t="shared" si="3"/>
        <v>0.690909090909091</v>
      </c>
    </row>
    <row r="29" ht="16.5" customHeight="1" spans="1:15">
      <c r="A29" s="1" t="s">
        <v>80</v>
      </c>
      <c r="B29" s="51">
        <v>3000</v>
      </c>
      <c r="C29" s="51">
        <v>3500</v>
      </c>
      <c r="D29" s="51">
        <v>4162</v>
      </c>
      <c r="E29" s="5">
        <f t="shared" si="0"/>
        <v>1.18914285714286</v>
      </c>
      <c r="F29" s="26" t="s">
        <v>90</v>
      </c>
      <c r="G29" s="72"/>
      <c r="H29" s="22"/>
      <c r="I29" s="19">
        <v>1640</v>
      </c>
      <c r="J29" s="5"/>
      <c r="K29" s="42" t="s">
        <v>401</v>
      </c>
      <c r="L29" s="22">
        <v>2800</v>
      </c>
      <c r="M29" s="22">
        <v>5611</v>
      </c>
      <c r="N29" s="51">
        <v>5610</v>
      </c>
      <c r="O29" s="5">
        <f t="shared" si="3"/>
        <v>0.999821778649082</v>
      </c>
    </row>
    <row r="30" ht="16.5" customHeight="1" spans="1:15">
      <c r="A30" s="1" t="s">
        <v>155</v>
      </c>
      <c r="B30" s="51">
        <v>13500</v>
      </c>
      <c r="C30" s="51">
        <v>17400</v>
      </c>
      <c r="D30" s="51">
        <v>18413</v>
      </c>
      <c r="E30" s="5">
        <f t="shared" si="0"/>
        <v>1.0582183908046</v>
      </c>
      <c r="F30" s="21" t="s">
        <v>264</v>
      </c>
      <c r="G30" s="52"/>
      <c r="H30" s="22"/>
      <c r="I30" s="19">
        <v>19950</v>
      </c>
      <c r="J30" s="5"/>
      <c r="K30" s="42" t="s">
        <v>402</v>
      </c>
      <c r="L30" s="22">
        <v>200</v>
      </c>
      <c r="M30" s="22">
        <v>260</v>
      </c>
      <c r="N30" s="51">
        <v>117</v>
      </c>
      <c r="O30" s="5">
        <f t="shared" si="3"/>
        <v>0.45</v>
      </c>
    </row>
    <row r="31" ht="16.5" customHeight="1" spans="1:15">
      <c r="A31" s="1" t="s">
        <v>86</v>
      </c>
      <c r="B31" s="51">
        <v>280</v>
      </c>
      <c r="C31" s="51">
        <v>280</v>
      </c>
      <c r="D31" s="51">
        <v>303</v>
      </c>
      <c r="E31" s="5">
        <f t="shared" si="0"/>
        <v>1.08214285714286</v>
      </c>
      <c r="F31" s="1" t="s">
        <v>100</v>
      </c>
      <c r="G31" s="51"/>
      <c r="H31" s="22"/>
      <c r="I31" s="22">
        <v>19950</v>
      </c>
      <c r="J31" s="5"/>
      <c r="K31" s="81" t="s">
        <v>419</v>
      </c>
      <c r="L31" s="22"/>
      <c r="M31" s="22">
        <v>4671</v>
      </c>
      <c r="N31" s="51">
        <v>2225</v>
      </c>
      <c r="O31" s="5">
        <f t="shared" si="3"/>
        <v>0.47634339541854</v>
      </c>
    </row>
    <row r="32" ht="16.5" customHeight="1" spans="1:15">
      <c r="A32" s="1" t="s">
        <v>92</v>
      </c>
      <c r="B32" s="51">
        <v>6765</v>
      </c>
      <c r="C32" s="51">
        <v>6865</v>
      </c>
      <c r="D32" s="51">
        <v>6819</v>
      </c>
      <c r="E32" s="5">
        <f t="shared" si="0"/>
        <v>0.993299344501092</v>
      </c>
      <c r="F32" s="21" t="s">
        <v>103</v>
      </c>
      <c r="G32" s="52">
        <f>SUM(G5,G25,G28:G30)</f>
        <v>136513</v>
      </c>
      <c r="H32" s="52">
        <f>SUM(H5,H25,H28:H30)</f>
        <v>233064</v>
      </c>
      <c r="I32" s="52">
        <f>SUM(I5,I25,I28:I30)</f>
        <v>237369</v>
      </c>
      <c r="J32" s="4"/>
      <c r="K32" s="42" t="s">
        <v>352</v>
      </c>
      <c r="L32" s="22">
        <v>1000</v>
      </c>
      <c r="M32" s="22">
        <v>2719</v>
      </c>
      <c r="N32" s="51">
        <v>2103</v>
      </c>
      <c r="O32" s="5">
        <f t="shared" si="3"/>
        <v>0.773446119897021</v>
      </c>
    </row>
    <row r="33" ht="16.5" customHeight="1" spans="1:15">
      <c r="A33" s="28" t="s">
        <v>94</v>
      </c>
      <c r="B33" s="52">
        <f>SUM(B34:B36)</f>
        <v>21513</v>
      </c>
      <c r="C33" s="52">
        <f>SUM(C34:C36)</f>
        <v>21513</v>
      </c>
      <c r="D33" s="52">
        <f>SUM(D34:D36)</f>
        <v>94640</v>
      </c>
      <c r="E33" s="18"/>
      <c r="F33" s="21"/>
      <c r="G33" s="17"/>
      <c r="H33" s="17"/>
      <c r="I33" s="17"/>
      <c r="J33" s="4"/>
      <c r="K33" s="42" t="s">
        <v>403</v>
      </c>
      <c r="L33" s="22">
        <v>250</v>
      </c>
      <c r="M33" s="22">
        <v>596</v>
      </c>
      <c r="N33" s="51">
        <v>478</v>
      </c>
      <c r="O33" s="5">
        <f t="shared" si="3"/>
        <v>0.802013422818792</v>
      </c>
    </row>
    <row r="34" ht="16.5" customHeight="1" spans="1:15">
      <c r="A34" s="29" t="s">
        <v>96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42" t="s">
        <v>404</v>
      </c>
      <c r="L34" s="22">
        <v>500</v>
      </c>
      <c r="M34" s="22">
        <v>1910</v>
      </c>
      <c r="N34" s="51">
        <v>890</v>
      </c>
      <c r="O34" s="5">
        <f t="shared" si="3"/>
        <v>0.465968586387435</v>
      </c>
    </row>
    <row r="35" ht="16.5" customHeight="1" spans="1:15">
      <c r="A35" s="29" t="s">
        <v>99</v>
      </c>
      <c r="B35" s="51">
        <v>14595</v>
      </c>
      <c r="C35" s="51">
        <v>14595</v>
      </c>
      <c r="D35" s="51">
        <v>40324</v>
      </c>
      <c r="E35" s="5"/>
      <c r="F35" s="30" t="s">
        <v>355</v>
      </c>
      <c r="G35" s="31"/>
      <c r="H35" s="31"/>
      <c r="I35" s="31"/>
      <c r="J35" s="48"/>
      <c r="K35" s="42" t="s">
        <v>405</v>
      </c>
      <c r="L35" s="22" t="s">
        <v>379</v>
      </c>
      <c r="M35" s="22">
        <v>105</v>
      </c>
      <c r="N35" s="51">
        <v>105</v>
      </c>
      <c r="O35" s="5">
        <f t="shared" si="3"/>
        <v>1</v>
      </c>
    </row>
    <row r="36" ht="16.5" customHeight="1" spans="1:15">
      <c r="A36" s="29" t="s">
        <v>102</v>
      </c>
      <c r="B36" s="51"/>
      <c r="C36" s="51"/>
      <c r="D36" s="51">
        <v>46617</v>
      </c>
      <c r="E36" s="5"/>
      <c r="F36" s="15" t="s">
        <v>6</v>
      </c>
      <c r="G36" s="4" t="s">
        <v>129</v>
      </c>
      <c r="H36" s="4" t="s">
        <v>130</v>
      </c>
      <c r="I36" s="4" t="s">
        <v>131</v>
      </c>
      <c r="J36" s="4" t="s">
        <v>132</v>
      </c>
      <c r="K36" s="42" t="s">
        <v>406</v>
      </c>
      <c r="L36" s="22"/>
      <c r="M36" s="22">
        <v>629</v>
      </c>
      <c r="N36" s="51">
        <v>620</v>
      </c>
      <c r="O36" s="5">
        <f t="shared" si="3"/>
        <v>0.985691573926868</v>
      </c>
    </row>
    <row r="37" ht="16.5" customHeight="1" spans="1:15">
      <c r="A37" s="33" t="s">
        <v>105</v>
      </c>
      <c r="B37" s="72"/>
      <c r="C37" s="52">
        <v>3597</v>
      </c>
      <c r="D37" s="52">
        <v>16711</v>
      </c>
      <c r="E37" s="45"/>
      <c r="F37" s="21" t="s">
        <v>383</v>
      </c>
      <c r="G37" s="85">
        <f>B5</f>
        <v>115000</v>
      </c>
      <c r="H37" s="85">
        <f>C5</f>
        <v>119000</v>
      </c>
      <c r="I37" s="85">
        <f>D5</f>
        <v>122168</v>
      </c>
      <c r="J37" s="18">
        <f t="shared" ref="J37:J43" si="4">I37/H37</f>
        <v>1.0266218487395</v>
      </c>
      <c r="K37" s="42" t="s">
        <v>408</v>
      </c>
      <c r="L37" s="22"/>
      <c r="M37" s="22">
        <v>78</v>
      </c>
      <c r="N37" s="51">
        <v>78</v>
      </c>
      <c r="O37" s="5">
        <f t="shared" si="3"/>
        <v>1</v>
      </c>
    </row>
    <row r="38" ht="16.5" customHeight="1" spans="1:15">
      <c r="A38" s="33" t="s">
        <v>407</v>
      </c>
      <c r="B38" s="86"/>
      <c r="C38" s="52">
        <v>2400</v>
      </c>
      <c r="D38" s="52">
        <v>2400</v>
      </c>
      <c r="E38" s="1"/>
      <c r="F38" s="34" t="s">
        <v>359</v>
      </c>
      <c r="G38" s="85">
        <f>SUM(G39:G42)</f>
        <v>66300</v>
      </c>
      <c r="H38" s="85">
        <f>SUM(H39:H42)</f>
        <v>58300</v>
      </c>
      <c r="I38" s="85">
        <f>SUM(I39:I42)</f>
        <v>55967</v>
      </c>
      <c r="J38" s="18">
        <f t="shared" si="4"/>
        <v>0.959982847341338</v>
      </c>
      <c r="K38" s="42" t="s">
        <v>409</v>
      </c>
      <c r="L38" s="22"/>
      <c r="M38" s="22">
        <v>475</v>
      </c>
      <c r="N38" s="51">
        <v>475</v>
      </c>
      <c r="O38" s="5">
        <f t="shared" si="3"/>
        <v>1</v>
      </c>
    </row>
    <row r="39" ht="16.5" customHeight="1" spans="1:15">
      <c r="A39" s="33" t="s">
        <v>192</v>
      </c>
      <c r="B39" s="51"/>
      <c r="C39" s="51"/>
      <c r="D39" s="52">
        <v>1450</v>
      </c>
      <c r="E39" s="5"/>
      <c r="F39" s="35" t="s">
        <v>361</v>
      </c>
      <c r="G39" s="51">
        <f>B8*3</f>
        <v>41916</v>
      </c>
      <c r="H39" s="51">
        <f>C8*3</f>
        <v>35655</v>
      </c>
      <c r="I39" s="51">
        <f>D8*3</f>
        <v>35691</v>
      </c>
      <c r="J39" s="5">
        <f t="shared" si="4"/>
        <v>1.00100967606226</v>
      </c>
      <c r="K39" s="42" t="s">
        <v>410</v>
      </c>
      <c r="L39" s="22"/>
      <c r="M39" s="22">
        <v>1381</v>
      </c>
      <c r="N39" s="51">
        <v>871</v>
      </c>
      <c r="O39" s="5">
        <f t="shared" si="3"/>
        <v>0.630702389572773</v>
      </c>
    </row>
    <row r="40" ht="16.5" customHeight="1" spans="1:15">
      <c r="A40" s="33"/>
      <c r="B40" s="51"/>
      <c r="C40" s="51"/>
      <c r="D40" s="52"/>
      <c r="E40" s="5"/>
      <c r="F40" s="35" t="s">
        <v>117</v>
      </c>
      <c r="G40" s="51">
        <f>B11*1.5-0.5</f>
        <v>18592</v>
      </c>
      <c r="H40" s="51">
        <f>C11*1.5-0.5</f>
        <v>16735</v>
      </c>
      <c r="I40" s="51">
        <f>D11*1.5-0.5</f>
        <v>14971</v>
      </c>
      <c r="J40" s="5">
        <f t="shared" si="4"/>
        <v>0.894592172094413</v>
      </c>
      <c r="K40" s="42" t="s">
        <v>411</v>
      </c>
      <c r="L40" s="22">
        <v>200</v>
      </c>
      <c r="M40" s="22">
        <f>10+759</f>
        <v>769</v>
      </c>
      <c r="N40" s="51">
        <f>10+434</f>
        <v>444</v>
      </c>
      <c r="O40" s="5">
        <f t="shared" si="3"/>
        <v>0.577373211963589</v>
      </c>
    </row>
    <row r="41" ht="16.5" customHeight="1" spans="1:15">
      <c r="A41" s="33"/>
      <c r="B41" s="51"/>
      <c r="C41" s="51"/>
      <c r="D41" s="52"/>
      <c r="E41" s="5"/>
      <c r="F41" s="35" t="s">
        <v>118</v>
      </c>
      <c r="G41" s="51">
        <f>B12*1.5</f>
        <v>5550</v>
      </c>
      <c r="H41" s="51">
        <f>C12*1.5</f>
        <v>5685</v>
      </c>
      <c r="I41" s="51">
        <f>D12*1.5</f>
        <v>5100</v>
      </c>
      <c r="J41" s="5">
        <f t="shared" si="4"/>
        <v>0.897097625329815</v>
      </c>
      <c r="K41" s="16" t="s">
        <v>412</v>
      </c>
      <c r="L41" s="22"/>
      <c r="M41" s="22"/>
      <c r="N41" s="41">
        <v>268</v>
      </c>
      <c r="O41" s="5"/>
    </row>
    <row r="42" ht="16.5" customHeight="1" spans="1:15">
      <c r="A42" s="33"/>
      <c r="B42" s="51"/>
      <c r="C42" s="51"/>
      <c r="D42" s="52"/>
      <c r="E42" s="5"/>
      <c r="F42" s="35" t="s">
        <v>314</v>
      </c>
      <c r="G42" s="51">
        <v>242</v>
      </c>
      <c r="H42" s="51">
        <v>225</v>
      </c>
      <c r="I42" s="51">
        <v>205</v>
      </c>
      <c r="J42" s="5">
        <f t="shared" si="4"/>
        <v>0.911111111111111</v>
      </c>
      <c r="K42" s="21" t="s">
        <v>268</v>
      </c>
      <c r="L42" s="22"/>
      <c r="M42" s="22"/>
      <c r="N42" s="52">
        <v>7267</v>
      </c>
      <c r="O42" s="4"/>
    </row>
    <row r="43" ht="17.25" customHeight="1" spans="1:15">
      <c r="A43" s="28" t="s">
        <v>124</v>
      </c>
      <c r="B43" s="52">
        <f>SUM(B5,B33,B37:B38)</f>
        <v>136513</v>
      </c>
      <c r="C43" s="52"/>
      <c r="D43" s="52">
        <f>SUM(D5,D33,D37:D39)</f>
        <v>237369</v>
      </c>
      <c r="E43" s="5"/>
      <c r="F43" s="36" t="s">
        <v>363</v>
      </c>
      <c r="G43" s="85">
        <f>SUM(G37:G38)</f>
        <v>181300</v>
      </c>
      <c r="H43" s="85">
        <f>SUM(H37:H38)</f>
        <v>177300</v>
      </c>
      <c r="I43" s="85">
        <f>SUM(I37:I38)</f>
        <v>178135</v>
      </c>
      <c r="J43" s="18">
        <f t="shared" si="4"/>
        <v>1.00470953186689</v>
      </c>
      <c r="K43" s="21" t="s">
        <v>91</v>
      </c>
      <c r="L43" s="19">
        <f>SUM(L21,L42:L42)</f>
        <v>53000</v>
      </c>
      <c r="M43" s="22"/>
      <c r="N43" s="19">
        <f>SUM(N21,N41:N42)</f>
        <v>124403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9:O19"/>
    <mergeCell ref="F35:J35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workbookViewId="0">
      <selection activeCell="A1" sqref="A1:O1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127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12</v>
      </c>
      <c r="B5" s="52">
        <f>SUM(B6,B24)</f>
        <v>137900</v>
      </c>
      <c r="C5" s="52">
        <f>SUM(C6,C24)</f>
        <v>137900</v>
      </c>
      <c r="D5" s="52">
        <f>SUM(D6,D24)</f>
        <v>138451</v>
      </c>
      <c r="E5" s="18">
        <f t="shared" ref="E5:E8" si="0">D5/C5</f>
        <v>1.00399564902103</v>
      </c>
      <c r="F5" s="21" t="s">
        <v>13</v>
      </c>
      <c r="G5" s="19">
        <f t="shared" ref="G5:I5" si="1">SUM(G6:G26)</f>
        <v>370859</v>
      </c>
      <c r="H5" s="19">
        <f t="shared" si="1"/>
        <v>423376</v>
      </c>
      <c r="I5" s="19">
        <f t="shared" si="1"/>
        <v>363139</v>
      </c>
      <c r="J5" s="18">
        <f t="shared" ref="J5:J26" si="2">I5/H5</f>
        <v>0.857722213824119</v>
      </c>
      <c r="K5" s="16" t="s">
        <v>133</v>
      </c>
      <c r="L5" s="19">
        <f>SUM(L6:L10)</f>
        <v>248400</v>
      </c>
      <c r="M5" s="19">
        <f>SUM(M6:M11)</f>
        <v>67183</v>
      </c>
      <c r="N5" s="19">
        <f>SUM(N6:N12)</f>
        <v>63728</v>
      </c>
      <c r="O5" s="18">
        <f t="shared" ref="O5:O10" si="3">N5/M5</f>
        <v>0.948573299793102</v>
      </c>
    </row>
    <row r="6" ht="16.5" customHeight="1" spans="1:15">
      <c r="A6" s="21" t="s">
        <v>15</v>
      </c>
      <c r="B6" s="52">
        <f>SUM(B7,B10:B22)</f>
        <v>95600</v>
      </c>
      <c r="C6" s="52">
        <f>SUM(C7,C10:C22)</f>
        <v>95600</v>
      </c>
      <c r="D6" s="52">
        <f>SUM(D7,D10:D23)</f>
        <v>75327</v>
      </c>
      <c r="E6" s="18">
        <f t="shared" si="0"/>
        <v>0.787939330543933</v>
      </c>
      <c r="F6" s="1" t="s">
        <v>16</v>
      </c>
      <c r="G6" s="51">
        <v>36307</v>
      </c>
      <c r="H6" s="22">
        <v>35586</v>
      </c>
      <c r="I6" s="22">
        <v>34963</v>
      </c>
      <c r="J6" s="60">
        <f t="shared" si="2"/>
        <v>0.98249311527005</v>
      </c>
      <c r="K6" s="42" t="s">
        <v>134</v>
      </c>
      <c r="L6" s="22">
        <v>244650</v>
      </c>
      <c r="M6" s="22">
        <v>64336</v>
      </c>
      <c r="N6" s="51">
        <v>60272</v>
      </c>
      <c r="O6" s="5">
        <f t="shared" si="3"/>
        <v>0.93683163392191</v>
      </c>
    </row>
    <row r="7" ht="16.5" customHeight="1" spans="1:15">
      <c r="A7" s="1" t="s">
        <v>18</v>
      </c>
      <c r="B7" s="51">
        <v>35250</v>
      </c>
      <c r="C7" s="51">
        <v>35250</v>
      </c>
      <c r="D7" s="51">
        <v>27566</v>
      </c>
      <c r="E7" s="5">
        <f t="shared" si="0"/>
        <v>0.782014184397163</v>
      </c>
      <c r="F7" s="1" t="s">
        <v>19</v>
      </c>
      <c r="G7" s="51">
        <v>418</v>
      </c>
      <c r="H7" s="22">
        <v>526</v>
      </c>
      <c r="I7" s="22">
        <v>526</v>
      </c>
      <c r="J7" s="60">
        <f t="shared" si="2"/>
        <v>1</v>
      </c>
      <c r="K7" s="42" t="s">
        <v>135</v>
      </c>
      <c r="L7" s="22">
        <v>2400</v>
      </c>
      <c r="M7" s="22">
        <v>1000</v>
      </c>
      <c r="N7" s="51">
        <v>686</v>
      </c>
      <c r="O7" s="5">
        <f t="shared" si="3"/>
        <v>0.686</v>
      </c>
    </row>
    <row r="8" ht="16.5" customHeight="1" spans="1:15">
      <c r="A8" s="1" t="s">
        <v>136</v>
      </c>
      <c r="B8" s="51">
        <v>35250</v>
      </c>
      <c r="C8" s="51">
        <v>35250</v>
      </c>
      <c r="D8" s="51">
        <v>27566</v>
      </c>
      <c r="E8" s="5">
        <f t="shared" si="0"/>
        <v>0.782014184397163</v>
      </c>
      <c r="F8" s="1" t="s">
        <v>22</v>
      </c>
      <c r="G8" s="51">
        <v>15623</v>
      </c>
      <c r="H8" s="22">
        <v>14896</v>
      </c>
      <c r="I8" s="22">
        <v>14739</v>
      </c>
      <c r="J8" s="60">
        <f t="shared" si="2"/>
        <v>0.989460257787325</v>
      </c>
      <c r="K8" s="42" t="s">
        <v>137</v>
      </c>
      <c r="L8" s="22">
        <v>900</v>
      </c>
      <c r="M8" s="22">
        <v>974</v>
      </c>
      <c r="N8" s="51">
        <v>974</v>
      </c>
      <c r="O8" s="5">
        <f t="shared" si="3"/>
        <v>1</v>
      </c>
    </row>
    <row r="9" ht="16.5" customHeight="1" spans="1:15">
      <c r="A9" s="1" t="s">
        <v>138</v>
      </c>
      <c r="B9" s="51"/>
      <c r="C9" s="51"/>
      <c r="D9" s="51"/>
      <c r="E9" s="5"/>
      <c r="F9" s="1" t="s">
        <v>25</v>
      </c>
      <c r="G9" s="51">
        <v>112599</v>
      </c>
      <c r="H9" s="22">
        <v>115180</v>
      </c>
      <c r="I9" s="22">
        <v>108501</v>
      </c>
      <c r="J9" s="60">
        <f t="shared" si="2"/>
        <v>0.942012502170516</v>
      </c>
      <c r="K9" s="42" t="s">
        <v>139</v>
      </c>
      <c r="L9" s="22">
        <v>120</v>
      </c>
      <c r="M9" s="22">
        <v>150</v>
      </c>
      <c r="N9" s="51">
        <v>155</v>
      </c>
      <c r="O9" s="5">
        <f t="shared" si="3"/>
        <v>1.03333333333333</v>
      </c>
    </row>
    <row r="10" ht="16.5" customHeight="1" spans="1:15">
      <c r="A10" s="1" t="s">
        <v>27</v>
      </c>
      <c r="B10" s="99"/>
      <c r="C10" s="51"/>
      <c r="D10" s="51"/>
      <c r="E10" s="5"/>
      <c r="F10" s="1" t="s">
        <v>28</v>
      </c>
      <c r="G10" s="51">
        <v>3155</v>
      </c>
      <c r="H10" s="51">
        <v>4532</v>
      </c>
      <c r="I10" s="22">
        <v>4182</v>
      </c>
      <c r="J10" s="60">
        <f t="shared" si="2"/>
        <v>0.922771403353928</v>
      </c>
      <c r="K10" s="42" t="s">
        <v>140</v>
      </c>
      <c r="L10" s="22">
        <v>330</v>
      </c>
      <c r="M10" s="22">
        <v>330</v>
      </c>
      <c r="N10" s="51">
        <v>325</v>
      </c>
      <c r="O10" s="5">
        <f t="shared" si="3"/>
        <v>0.984848484848485</v>
      </c>
    </row>
    <row r="11" ht="16.5" customHeight="1" spans="1:15">
      <c r="A11" s="1" t="s">
        <v>30</v>
      </c>
      <c r="B11" s="99">
        <v>14600</v>
      </c>
      <c r="C11" s="51">
        <v>14600</v>
      </c>
      <c r="D11" s="51">
        <v>15896</v>
      </c>
      <c r="E11" s="5">
        <f t="shared" ref="E11:E22" si="4">D11/C11</f>
        <v>1.08876712328767</v>
      </c>
      <c r="F11" s="1" t="s">
        <v>31</v>
      </c>
      <c r="G11" s="51">
        <v>4988</v>
      </c>
      <c r="H11" s="51">
        <v>5433</v>
      </c>
      <c r="I11" s="22">
        <v>5187</v>
      </c>
      <c r="J11" s="60">
        <f t="shared" si="2"/>
        <v>0.95472114853672</v>
      </c>
      <c r="K11" s="42" t="s">
        <v>141</v>
      </c>
      <c r="L11" s="22">
        <v>0</v>
      </c>
      <c r="M11" s="22">
        <v>393</v>
      </c>
      <c r="N11" s="51">
        <v>393</v>
      </c>
      <c r="O11" s="5"/>
    </row>
    <row r="12" ht="16.5" customHeight="1" spans="1:15">
      <c r="A12" s="1" t="s">
        <v>33</v>
      </c>
      <c r="B12" s="99">
        <v>7880</v>
      </c>
      <c r="C12" s="51">
        <v>7880</v>
      </c>
      <c r="D12" s="51">
        <v>7112</v>
      </c>
      <c r="E12" s="5">
        <f t="shared" si="4"/>
        <v>0.90253807106599</v>
      </c>
      <c r="F12" s="1" t="s">
        <v>34</v>
      </c>
      <c r="G12" s="51">
        <v>62258</v>
      </c>
      <c r="H12" s="51">
        <v>59733</v>
      </c>
      <c r="I12" s="22">
        <v>58759</v>
      </c>
      <c r="J12" s="60">
        <f t="shared" si="2"/>
        <v>0.983694105435856</v>
      </c>
      <c r="K12" s="42" t="s">
        <v>142</v>
      </c>
      <c r="L12" s="51">
        <v>0</v>
      </c>
      <c r="M12" s="51">
        <v>0</v>
      </c>
      <c r="N12" s="51">
        <v>923</v>
      </c>
      <c r="O12" s="51"/>
    </row>
    <row r="13" ht="16.5" customHeight="1" spans="1:15">
      <c r="A13" s="1" t="s">
        <v>36</v>
      </c>
      <c r="B13" s="99">
        <v>1400</v>
      </c>
      <c r="C13" s="68">
        <v>1400</v>
      </c>
      <c r="D13" s="51">
        <v>442</v>
      </c>
      <c r="E13" s="5">
        <f t="shared" si="4"/>
        <v>0.315714285714286</v>
      </c>
      <c r="F13" s="1" t="s">
        <v>37</v>
      </c>
      <c r="G13" s="51">
        <v>30724</v>
      </c>
      <c r="H13" s="51">
        <v>30479</v>
      </c>
      <c r="I13" s="22">
        <v>29303</v>
      </c>
      <c r="J13" s="61">
        <f t="shared" si="2"/>
        <v>0.961416056957249</v>
      </c>
      <c r="K13" s="21" t="s">
        <v>32</v>
      </c>
      <c r="L13" s="19"/>
      <c r="M13" s="19"/>
      <c r="N13" s="19">
        <v>5656</v>
      </c>
      <c r="O13" s="5"/>
    </row>
    <row r="14" ht="16.5" customHeight="1" spans="1:15">
      <c r="A14" s="1" t="s">
        <v>39</v>
      </c>
      <c r="B14" s="99">
        <v>3400</v>
      </c>
      <c r="C14" s="68">
        <v>3400</v>
      </c>
      <c r="D14" s="51">
        <v>2916</v>
      </c>
      <c r="E14" s="5">
        <f t="shared" si="4"/>
        <v>0.857647058823529</v>
      </c>
      <c r="F14" s="1" t="s">
        <v>40</v>
      </c>
      <c r="G14" s="51">
        <v>8650</v>
      </c>
      <c r="H14" s="51">
        <v>5249</v>
      </c>
      <c r="I14" s="22">
        <v>4690</v>
      </c>
      <c r="J14" s="60">
        <f t="shared" si="2"/>
        <v>0.893503524480853</v>
      </c>
      <c r="K14" s="21" t="s">
        <v>143</v>
      </c>
      <c r="L14" s="19"/>
      <c r="M14" s="19">
        <v>20503</v>
      </c>
      <c r="N14" s="19">
        <v>20503</v>
      </c>
      <c r="O14" s="45"/>
    </row>
    <row r="15" ht="16.5" customHeight="1" spans="1:15">
      <c r="A15" s="1" t="s">
        <v>42</v>
      </c>
      <c r="B15" s="99">
        <v>2530</v>
      </c>
      <c r="C15" s="68">
        <v>2530</v>
      </c>
      <c r="D15" s="51">
        <v>2154</v>
      </c>
      <c r="E15" s="5">
        <f t="shared" si="4"/>
        <v>0.851383399209486</v>
      </c>
      <c r="F15" s="1" t="s">
        <v>43</v>
      </c>
      <c r="G15" s="51">
        <v>9533</v>
      </c>
      <c r="H15" s="51">
        <v>13247</v>
      </c>
      <c r="I15" s="22">
        <v>8332</v>
      </c>
      <c r="J15" s="60">
        <f t="shared" si="2"/>
        <v>0.628972597569261</v>
      </c>
      <c r="K15" s="21" t="s">
        <v>38</v>
      </c>
      <c r="L15" s="19"/>
      <c r="M15" s="19">
        <v>32954</v>
      </c>
      <c r="N15" s="19">
        <v>32954</v>
      </c>
      <c r="O15" s="45"/>
    </row>
    <row r="16" ht="16.5" customHeight="1" spans="1:15">
      <c r="A16" s="1" t="s">
        <v>45</v>
      </c>
      <c r="B16" s="99">
        <v>1440</v>
      </c>
      <c r="C16" s="68">
        <v>1440</v>
      </c>
      <c r="D16" s="51">
        <v>1111</v>
      </c>
      <c r="E16" s="5">
        <f t="shared" si="4"/>
        <v>0.771527777777778</v>
      </c>
      <c r="F16" s="1" t="s">
        <v>46</v>
      </c>
      <c r="G16" s="51">
        <v>25041</v>
      </c>
      <c r="H16" s="51">
        <v>74994</v>
      </c>
      <c r="I16" s="22">
        <v>56851</v>
      </c>
      <c r="J16" s="60">
        <f t="shared" si="2"/>
        <v>0.758073979251673</v>
      </c>
      <c r="K16" s="46" t="s">
        <v>41</v>
      </c>
      <c r="L16" s="19">
        <v>248400</v>
      </c>
      <c r="M16" s="19">
        <f>M5+I27+M15</f>
        <v>107513</v>
      </c>
      <c r="N16" s="19">
        <f>SUM(N14,N13,N5,N15)</f>
        <v>122841</v>
      </c>
      <c r="O16" s="4"/>
    </row>
    <row r="17" ht="16.5" customHeight="1" spans="1:15">
      <c r="A17" s="1" t="s">
        <v>47</v>
      </c>
      <c r="B17" s="99">
        <v>3400</v>
      </c>
      <c r="C17" s="68">
        <v>3400</v>
      </c>
      <c r="D17" s="51">
        <v>2144</v>
      </c>
      <c r="E17" s="5">
        <f t="shared" si="4"/>
        <v>0.630588235294118</v>
      </c>
      <c r="F17" s="1" t="s">
        <v>48</v>
      </c>
      <c r="G17" s="51">
        <v>7415</v>
      </c>
      <c r="H17" s="22">
        <v>12818</v>
      </c>
      <c r="I17" s="22">
        <v>4077</v>
      </c>
      <c r="J17" s="60">
        <f t="shared" si="2"/>
        <v>0.318068341394913</v>
      </c>
      <c r="K17" s="90" t="s">
        <v>44</v>
      </c>
      <c r="L17" s="91"/>
      <c r="M17" s="91"/>
      <c r="N17" s="91"/>
      <c r="O17" s="92"/>
    </row>
    <row r="18" ht="16.5" customHeight="1" spans="1:15">
      <c r="A18" s="1" t="s">
        <v>50</v>
      </c>
      <c r="B18" s="99">
        <v>12900</v>
      </c>
      <c r="C18" s="68">
        <v>12900</v>
      </c>
      <c r="D18" s="51">
        <v>7096</v>
      </c>
      <c r="E18" s="5">
        <f t="shared" si="4"/>
        <v>0.550077519379845</v>
      </c>
      <c r="F18" s="1" t="s">
        <v>51</v>
      </c>
      <c r="G18" s="51">
        <v>18710</v>
      </c>
      <c r="H18" s="22">
        <v>3053</v>
      </c>
      <c r="I18" s="22">
        <v>2829</v>
      </c>
      <c r="J18" s="60">
        <f t="shared" si="2"/>
        <v>0.926629544710121</v>
      </c>
      <c r="K18" s="15" t="s">
        <v>6</v>
      </c>
      <c r="L18" s="15" t="s">
        <v>129</v>
      </c>
      <c r="M18" s="15" t="s">
        <v>130</v>
      </c>
      <c r="N18" s="15" t="s">
        <v>131</v>
      </c>
      <c r="O18" s="15" t="s">
        <v>132</v>
      </c>
    </row>
    <row r="19" ht="16.5" customHeight="1" spans="1:15">
      <c r="A19" s="1" t="s">
        <v>53</v>
      </c>
      <c r="B19" s="99">
        <v>3120</v>
      </c>
      <c r="C19" s="68">
        <v>3120</v>
      </c>
      <c r="D19" s="51">
        <v>2159</v>
      </c>
      <c r="E19" s="5">
        <f t="shared" si="4"/>
        <v>0.691987179487179</v>
      </c>
      <c r="F19" s="1" t="s">
        <v>54</v>
      </c>
      <c r="G19" s="51">
        <v>577</v>
      </c>
      <c r="H19" s="22">
        <v>1447</v>
      </c>
      <c r="I19" s="22">
        <v>1326</v>
      </c>
      <c r="J19" s="60">
        <f t="shared" si="2"/>
        <v>0.916378714581894</v>
      </c>
      <c r="K19" s="16" t="s">
        <v>144</v>
      </c>
      <c r="L19" s="52">
        <f>SUM(L20:L29)</f>
        <v>248400</v>
      </c>
      <c r="M19" s="52">
        <v>87543</v>
      </c>
      <c r="N19" s="52">
        <f>SUM(N20:N29)</f>
        <v>83078</v>
      </c>
      <c r="O19" s="18">
        <f t="shared" ref="O19:O24" si="5">N19/M19</f>
        <v>0.948996493151937</v>
      </c>
    </row>
    <row r="20" ht="16.5" customHeight="1" spans="1:15">
      <c r="A20" s="1" t="s">
        <v>56</v>
      </c>
      <c r="B20" s="99">
        <v>160</v>
      </c>
      <c r="C20" s="68">
        <v>160</v>
      </c>
      <c r="D20" s="51">
        <v>77</v>
      </c>
      <c r="E20" s="5">
        <f t="shared" si="4"/>
        <v>0.48125</v>
      </c>
      <c r="F20" s="1" t="s">
        <v>57</v>
      </c>
      <c r="G20" s="51"/>
      <c r="H20" s="22">
        <v>520</v>
      </c>
      <c r="I20" s="22">
        <v>520</v>
      </c>
      <c r="J20" s="60">
        <f t="shared" si="2"/>
        <v>1</v>
      </c>
      <c r="K20" s="109" t="s">
        <v>145</v>
      </c>
      <c r="L20" s="22">
        <v>0</v>
      </c>
      <c r="M20" s="22">
        <v>49</v>
      </c>
      <c r="N20" s="51">
        <v>3</v>
      </c>
      <c r="O20" s="5">
        <f t="shared" si="5"/>
        <v>0.0612244897959184</v>
      </c>
    </row>
    <row r="21" ht="16.5" customHeight="1" spans="1:15">
      <c r="A21" s="1" t="s">
        <v>59</v>
      </c>
      <c r="B21" s="99">
        <v>1750</v>
      </c>
      <c r="C21" s="51">
        <v>1750</v>
      </c>
      <c r="D21" s="51">
        <v>345</v>
      </c>
      <c r="E21" s="5">
        <f t="shared" si="4"/>
        <v>0.197142857142857</v>
      </c>
      <c r="F21" s="1" t="s">
        <v>60</v>
      </c>
      <c r="G21" s="51">
        <v>7230</v>
      </c>
      <c r="H21" s="22">
        <v>23146</v>
      </c>
      <c r="I21" s="22">
        <v>6453</v>
      </c>
      <c r="J21" s="60">
        <f t="shared" si="2"/>
        <v>0.278795472219822</v>
      </c>
      <c r="K21" s="110" t="s">
        <v>146</v>
      </c>
      <c r="L21" s="22">
        <v>0</v>
      </c>
      <c r="M21" s="22">
        <v>1353</v>
      </c>
      <c r="N21" s="51">
        <v>1119</v>
      </c>
      <c r="O21" s="5">
        <f t="shared" si="5"/>
        <v>0.827050997782705</v>
      </c>
    </row>
    <row r="22" ht="16.5" customHeight="1" spans="1:15">
      <c r="A22" s="1" t="s">
        <v>62</v>
      </c>
      <c r="B22" s="51">
        <v>7770</v>
      </c>
      <c r="C22" s="51">
        <v>7770</v>
      </c>
      <c r="D22" s="51">
        <v>6309</v>
      </c>
      <c r="E22" s="5">
        <f t="shared" si="4"/>
        <v>0.811969111969112</v>
      </c>
      <c r="F22" s="1" t="s">
        <v>63</v>
      </c>
      <c r="G22" s="51">
        <v>700</v>
      </c>
      <c r="H22" s="22">
        <v>2517</v>
      </c>
      <c r="I22" s="22">
        <v>1975</v>
      </c>
      <c r="J22" s="60">
        <f t="shared" si="2"/>
        <v>0.78466428287644</v>
      </c>
      <c r="K22" s="109" t="s">
        <v>147</v>
      </c>
      <c r="L22" s="22">
        <v>244650</v>
      </c>
      <c r="M22" s="22">
        <v>30586</v>
      </c>
      <c r="N22" s="51">
        <v>28801</v>
      </c>
      <c r="O22" s="5">
        <f t="shared" si="5"/>
        <v>0.941639965997515</v>
      </c>
    </row>
    <row r="23" ht="16.5" customHeight="1" spans="1:15">
      <c r="A23" s="1" t="s">
        <v>65</v>
      </c>
      <c r="B23" s="51"/>
      <c r="C23" s="51"/>
      <c r="D23" s="51"/>
      <c r="E23" s="5"/>
      <c r="F23" s="1" t="s">
        <v>66</v>
      </c>
      <c r="G23" s="51">
        <v>2180</v>
      </c>
      <c r="H23" s="22">
        <v>1002</v>
      </c>
      <c r="I23" s="22">
        <v>1002</v>
      </c>
      <c r="J23" s="60">
        <f t="shared" si="2"/>
        <v>1</v>
      </c>
      <c r="K23" s="109" t="s">
        <v>148</v>
      </c>
      <c r="L23" s="22">
        <v>2400</v>
      </c>
      <c r="M23" s="22">
        <v>1682</v>
      </c>
      <c r="N23" s="51">
        <v>1505</v>
      </c>
      <c r="O23" s="5">
        <f t="shared" si="5"/>
        <v>0.894768133174792</v>
      </c>
    </row>
    <row r="24" ht="16.5" customHeight="1" spans="1:15">
      <c r="A24" s="21" t="s">
        <v>68</v>
      </c>
      <c r="B24" s="52">
        <f>SUM(B25,B27:B32)</f>
        <v>42300</v>
      </c>
      <c r="C24" s="52">
        <f>SUM(C25,C27:C32)</f>
        <v>42300</v>
      </c>
      <c r="D24" s="52">
        <f>SUM(D25,D27:D32)</f>
        <v>63124</v>
      </c>
      <c r="E24" s="18">
        <f t="shared" ref="E24:E29" si="6">D24/C24</f>
        <v>1.49229314420804</v>
      </c>
      <c r="F24" s="1" t="s">
        <v>69</v>
      </c>
      <c r="G24" s="51">
        <v>3507</v>
      </c>
      <c r="H24" s="22">
        <v>2553</v>
      </c>
      <c r="I24" s="22">
        <v>2459</v>
      </c>
      <c r="J24" s="60">
        <f t="shared" si="2"/>
        <v>0.963180571876224</v>
      </c>
      <c r="K24" s="109" t="s">
        <v>149</v>
      </c>
      <c r="L24" s="22">
        <v>900</v>
      </c>
      <c r="M24" s="22">
        <v>1242</v>
      </c>
      <c r="N24" s="51">
        <v>1195</v>
      </c>
      <c r="O24" s="5">
        <f t="shared" si="5"/>
        <v>0.962157809983897</v>
      </c>
    </row>
    <row r="25" ht="16.5" customHeight="1" spans="1:15">
      <c r="A25" s="1" t="s">
        <v>71</v>
      </c>
      <c r="B25" s="51">
        <v>12100</v>
      </c>
      <c r="C25" s="51">
        <v>12100</v>
      </c>
      <c r="D25" s="51">
        <v>4128</v>
      </c>
      <c r="E25" s="5">
        <f t="shared" si="6"/>
        <v>0.341157024793388</v>
      </c>
      <c r="F25" s="1" t="s">
        <v>72</v>
      </c>
      <c r="G25" s="51">
        <v>16244</v>
      </c>
      <c r="H25" s="22">
        <v>16264</v>
      </c>
      <c r="I25" s="22">
        <v>16264</v>
      </c>
      <c r="J25" s="60">
        <f t="shared" si="2"/>
        <v>1</v>
      </c>
      <c r="K25" s="110" t="s">
        <v>150</v>
      </c>
      <c r="L25" s="22">
        <v>0</v>
      </c>
      <c r="M25" s="22">
        <v>1026</v>
      </c>
      <c r="N25" s="51">
        <v>443</v>
      </c>
      <c r="O25" s="5">
        <f t="shared" ref="O18:O30" si="7">N25/M25</f>
        <v>0.4317738791423</v>
      </c>
    </row>
    <row r="26" ht="16.5" customHeight="1" spans="1:15">
      <c r="A26" s="1" t="s">
        <v>151</v>
      </c>
      <c r="B26" s="51">
        <v>2300</v>
      </c>
      <c r="C26" s="51">
        <v>2300</v>
      </c>
      <c r="D26" s="51">
        <v>1799</v>
      </c>
      <c r="E26" s="5">
        <f t="shared" si="6"/>
        <v>0.782173913043478</v>
      </c>
      <c r="F26" s="1" t="s">
        <v>75</v>
      </c>
      <c r="G26" s="51">
        <v>5000</v>
      </c>
      <c r="H26" s="22">
        <v>201</v>
      </c>
      <c r="I26" s="22">
        <v>201</v>
      </c>
      <c r="J26" s="60">
        <f t="shared" si="2"/>
        <v>1</v>
      </c>
      <c r="K26" s="109" t="s">
        <v>152</v>
      </c>
      <c r="L26" s="22">
        <v>450</v>
      </c>
      <c r="M26" s="22">
        <v>2306</v>
      </c>
      <c r="N26" s="51">
        <v>1611</v>
      </c>
      <c r="O26" s="5">
        <f t="shared" si="7"/>
        <v>0.698612315698179</v>
      </c>
    </row>
    <row r="27" ht="16.5" customHeight="1" spans="1:15">
      <c r="A27" s="1" t="s">
        <v>77</v>
      </c>
      <c r="B27" s="4">
        <v>4300</v>
      </c>
      <c r="C27" s="51">
        <v>4300</v>
      </c>
      <c r="D27" s="51">
        <v>3908</v>
      </c>
      <c r="E27" s="5">
        <f t="shared" si="6"/>
        <v>0.908837209302326</v>
      </c>
      <c r="F27" s="26" t="s">
        <v>78</v>
      </c>
      <c r="G27" s="69">
        <f t="shared" ref="G27:I27" si="8">SUM(G28:G29)</f>
        <v>8800</v>
      </c>
      <c r="H27" s="69">
        <f t="shared" si="8"/>
        <v>8800</v>
      </c>
      <c r="I27" s="69">
        <f t="shared" si="8"/>
        <v>7376</v>
      </c>
      <c r="J27" s="5"/>
      <c r="K27" s="110" t="s">
        <v>153</v>
      </c>
      <c r="L27" s="22">
        <v>0</v>
      </c>
      <c r="M27" s="22">
        <v>47010</v>
      </c>
      <c r="N27" s="51">
        <v>44597</v>
      </c>
      <c r="O27" s="5">
        <f t="shared" si="7"/>
        <v>0.948670495639226</v>
      </c>
    </row>
    <row r="28" ht="16.5" customHeight="1" spans="1:15">
      <c r="A28" s="1" t="s">
        <v>80</v>
      </c>
      <c r="B28" s="4">
        <v>2700</v>
      </c>
      <c r="C28" s="51">
        <v>2700</v>
      </c>
      <c r="D28" s="51">
        <v>2585</v>
      </c>
      <c r="E28" s="5">
        <f t="shared" si="6"/>
        <v>0.957407407407407</v>
      </c>
      <c r="F28" s="1" t="s">
        <v>81</v>
      </c>
      <c r="G28" s="51">
        <v>3403</v>
      </c>
      <c r="H28" s="22">
        <v>3403</v>
      </c>
      <c r="I28" s="22">
        <v>3269</v>
      </c>
      <c r="J28" s="5"/>
      <c r="K28" s="109" t="s">
        <v>154</v>
      </c>
      <c r="L28" s="22">
        <v>0</v>
      </c>
      <c r="M28" s="22">
        <v>2254</v>
      </c>
      <c r="N28" s="51">
        <v>3769</v>
      </c>
      <c r="O28" s="5">
        <f t="shared" si="7"/>
        <v>1.67213842058563</v>
      </c>
    </row>
    <row r="29" ht="16.5" customHeight="1" spans="1:15">
      <c r="A29" s="1" t="s">
        <v>155</v>
      </c>
      <c r="B29" s="4">
        <v>2000</v>
      </c>
      <c r="C29" s="51">
        <v>2000</v>
      </c>
      <c r="D29" s="51">
        <v>8157</v>
      </c>
      <c r="E29" s="5">
        <f t="shared" si="6"/>
        <v>4.0785</v>
      </c>
      <c r="F29" s="1" t="s">
        <v>84</v>
      </c>
      <c r="G29" s="71">
        <v>5397</v>
      </c>
      <c r="H29" s="22">
        <v>5397</v>
      </c>
      <c r="I29" s="22">
        <v>4107</v>
      </c>
      <c r="J29" s="5"/>
      <c r="K29" s="109" t="s">
        <v>156</v>
      </c>
      <c r="L29" s="22">
        <v>0</v>
      </c>
      <c r="M29" s="22">
        <v>35</v>
      </c>
      <c r="N29" s="51">
        <v>35</v>
      </c>
      <c r="O29" s="5">
        <f t="shared" si="7"/>
        <v>1</v>
      </c>
    </row>
    <row r="30" ht="16.5" customHeight="1" spans="1:15">
      <c r="A30" s="1" t="s">
        <v>86</v>
      </c>
      <c r="B30" s="4">
        <v>2600</v>
      </c>
      <c r="C30" s="51">
        <v>2600</v>
      </c>
      <c r="D30" s="51">
        <f>27055</f>
        <v>27055</v>
      </c>
      <c r="E30" s="5">
        <f t="shared" ref="E30:E32" si="9">D30/C30</f>
        <v>10.4057692307692</v>
      </c>
      <c r="F30" s="26" t="s">
        <v>87</v>
      </c>
      <c r="G30" s="72">
        <v>40556</v>
      </c>
      <c r="H30" s="19">
        <v>20278</v>
      </c>
      <c r="I30" s="19">
        <v>101420</v>
      </c>
      <c r="J30" s="5"/>
      <c r="K30" s="16" t="s">
        <v>82</v>
      </c>
      <c r="L30" s="19">
        <v>175151</v>
      </c>
      <c r="M30" s="19">
        <v>53128</v>
      </c>
      <c r="N30" s="41">
        <v>34678</v>
      </c>
      <c r="O30" s="5">
        <f t="shared" si="7"/>
        <v>0.652725493148622</v>
      </c>
    </row>
    <row r="31" ht="16.5" customHeight="1" spans="1:15">
      <c r="A31" s="1" t="s">
        <v>89</v>
      </c>
      <c r="B31" s="4">
        <v>60</v>
      </c>
      <c r="C31" s="51">
        <v>60</v>
      </c>
      <c r="D31" s="51">
        <v>69</v>
      </c>
      <c r="E31" s="5">
        <f t="shared" si="9"/>
        <v>1.15</v>
      </c>
      <c r="F31" s="26" t="s">
        <v>90</v>
      </c>
      <c r="G31" s="72"/>
      <c r="H31" s="22"/>
      <c r="I31" s="19">
        <v>7002</v>
      </c>
      <c r="J31" s="5"/>
      <c r="K31" s="21" t="s">
        <v>157</v>
      </c>
      <c r="L31" s="22"/>
      <c r="M31" s="19"/>
      <c r="N31" s="52">
        <v>620</v>
      </c>
      <c r="O31" s="5"/>
    </row>
    <row r="32" ht="16.5" customHeight="1" spans="1:15">
      <c r="A32" s="1" t="s">
        <v>158</v>
      </c>
      <c r="B32" s="4">
        <v>18540</v>
      </c>
      <c r="C32" s="51">
        <v>18540</v>
      </c>
      <c r="D32" s="51">
        <f>1162+16060</f>
        <v>17222</v>
      </c>
      <c r="E32" s="5">
        <f t="shared" si="9"/>
        <v>0.92891046386192</v>
      </c>
      <c r="F32" s="26" t="s">
        <v>93</v>
      </c>
      <c r="G32" s="72"/>
      <c r="H32" s="19"/>
      <c r="I32" s="19">
        <v>115</v>
      </c>
      <c r="J32" s="5"/>
      <c r="K32" s="21" t="s">
        <v>159</v>
      </c>
      <c r="L32" s="22"/>
      <c r="M32" s="22"/>
      <c r="N32" s="52">
        <v>4465</v>
      </c>
      <c r="O32" s="4"/>
    </row>
    <row r="33" ht="16.5" customHeight="1" spans="1:15">
      <c r="A33" s="28" t="s">
        <v>94</v>
      </c>
      <c r="B33" s="52">
        <f>SUM(B34:B36)</f>
        <v>107012</v>
      </c>
      <c r="C33" s="52">
        <f>SUM(C34:C36)</f>
        <v>102555</v>
      </c>
      <c r="D33" s="52">
        <f>SUM(D34:D36)</f>
        <v>198664</v>
      </c>
      <c r="E33" s="18"/>
      <c r="F33" s="26" t="s">
        <v>95</v>
      </c>
      <c r="G33" s="72"/>
      <c r="H33" s="19"/>
      <c r="I33" s="19"/>
      <c r="J33" s="5"/>
      <c r="K33" s="21" t="s">
        <v>91</v>
      </c>
      <c r="L33" s="45">
        <f>L19</f>
        <v>248400</v>
      </c>
      <c r="M33" s="21">
        <f>M19+M30</f>
        <v>140671</v>
      </c>
      <c r="N33" s="45">
        <f>SUM(N19,N30,N31,N32)</f>
        <v>122841</v>
      </c>
      <c r="O33" s="21"/>
    </row>
    <row r="34" ht="16.5" customHeight="1" spans="1:15">
      <c r="A34" s="29" t="s">
        <v>96</v>
      </c>
      <c r="B34" s="51">
        <v>10690</v>
      </c>
      <c r="C34" s="51">
        <v>10690</v>
      </c>
      <c r="D34" s="51">
        <v>10690</v>
      </c>
      <c r="E34" s="5"/>
      <c r="F34" s="21" t="s">
        <v>97</v>
      </c>
      <c r="G34" s="52"/>
      <c r="H34" s="22"/>
      <c r="I34" s="19">
        <v>60237</v>
      </c>
      <c r="J34" s="5"/>
      <c r="K34" s="90" t="s">
        <v>98</v>
      </c>
      <c r="L34" s="91"/>
      <c r="M34" s="91"/>
      <c r="N34" s="91"/>
      <c r="O34" s="92"/>
    </row>
    <row r="35" ht="16.5" customHeight="1" spans="1:15">
      <c r="A35" s="29" t="s">
        <v>99</v>
      </c>
      <c r="B35" s="51">
        <v>46107</v>
      </c>
      <c r="C35" s="51">
        <v>49934</v>
      </c>
      <c r="D35" s="51">
        <v>146043</v>
      </c>
      <c r="E35" s="5"/>
      <c r="F35" s="1" t="s">
        <v>100</v>
      </c>
      <c r="G35" s="51"/>
      <c r="H35" s="22"/>
      <c r="I35" s="22">
        <v>60237</v>
      </c>
      <c r="J35" s="5"/>
      <c r="K35" s="21" t="s">
        <v>104</v>
      </c>
      <c r="L35" s="45">
        <v>152</v>
      </c>
      <c r="M35" s="45">
        <v>221</v>
      </c>
      <c r="N35" s="45">
        <v>225</v>
      </c>
      <c r="O35" s="18">
        <f>N35/M35</f>
        <v>1.01809954751131</v>
      </c>
    </row>
    <row r="36" ht="16.5" customHeight="1" spans="1:15">
      <c r="A36" s="29" t="s">
        <v>160</v>
      </c>
      <c r="B36" s="51">
        <v>50215</v>
      </c>
      <c r="C36" s="51">
        <v>41931</v>
      </c>
      <c r="D36" s="51">
        <v>41931</v>
      </c>
      <c r="E36" s="5"/>
      <c r="F36" s="21" t="s">
        <v>103</v>
      </c>
      <c r="G36" s="52">
        <f t="shared" ref="G36:I36" si="10">SUM(G5,G27,G30:G34)</f>
        <v>420215</v>
      </c>
      <c r="H36" s="52">
        <f t="shared" si="10"/>
        <v>452454</v>
      </c>
      <c r="I36" s="52">
        <f t="shared" si="10"/>
        <v>539289</v>
      </c>
      <c r="J36" s="4"/>
      <c r="K36" s="21" t="s">
        <v>161</v>
      </c>
      <c r="L36" s="45">
        <v>0</v>
      </c>
      <c r="M36" s="45">
        <v>0</v>
      </c>
      <c r="N36" s="45">
        <v>7</v>
      </c>
      <c r="O36" s="18"/>
    </row>
    <row r="37" ht="16.5" customHeight="1" spans="1:15">
      <c r="A37" s="33" t="s">
        <v>105</v>
      </c>
      <c r="B37" s="52"/>
      <c r="C37" s="52">
        <v>14250</v>
      </c>
      <c r="D37" s="52">
        <v>57460</v>
      </c>
      <c r="E37" s="45"/>
      <c r="F37" s="30" t="s">
        <v>106</v>
      </c>
      <c r="G37" s="31"/>
      <c r="H37" s="31"/>
      <c r="I37" s="31"/>
      <c r="J37" s="48"/>
      <c r="K37" s="21" t="s">
        <v>162</v>
      </c>
      <c r="L37" s="45">
        <v>0</v>
      </c>
      <c r="M37" s="45">
        <v>0</v>
      </c>
      <c r="N37" s="45">
        <v>6</v>
      </c>
      <c r="O37" s="18"/>
    </row>
    <row r="38" ht="16.5" customHeight="1" spans="1:15">
      <c r="A38" s="33" t="s">
        <v>108</v>
      </c>
      <c r="B38" s="52"/>
      <c r="C38" s="52">
        <v>18095</v>
      </c>
      <c r="D38" s="52">
        <v>99205</v>
      </c>
      <c r="E38" s="1"/>
      <c r="F38" s="15" t="s">
        <v>6</v>
      </c>
      <c r="G38" s="4" t="s">
        <v>129</v>
      </c>
      <c r="H38" s="4" t="s">
        <v>130</v>
      </c>
      <c r="I38" s="4" t="s">
        <v>131</v>
      </c>
      <c r="J38" s="4" t="s">
        <v>132</v>
      </c>
      <c r="K38" s="21" t="s">
        <v>109</v>
      </c>
      <c r="L38" s="107">
        <v>0</v>
      </c>
      <c r="M38" s="108">
        <v>14</v>
      </c>
      <c r="N38" s="45">
        <v>14</v>
      </c>
      <c r="O38" s="18"/>
    </row>
    <row r="39" ht="16.5" customHeight="1" spans="1:15">
      <c r="A39" s="87" t="s">
        <v>110</v>
      </c>
      <c r="B39" s="52"/>
      <c r="C39" s="52">
        <v>10545</v>
      </c>
      <c r="D39" s="52">
        <v>10545</v>
      </c>
      <c r="E39" s="5"/>
      <c r="F39" s="21" t="s">
        <v>12</v>
      </c>
      <c r="G39" s="85">
        <f>B5</f>
        <v>137900</v>
      </c>
      <c r="H39" s="85">
        <f>C5</f>
        <v>137900</v>
      </c>
      <c r="I39" s="85">
        <f>D5</f>
        <v>138451</v>
      </c>
      <c r="J39" s="18">
        <f t="shared" ref="J39:J46" si="11">I39/H39</f>
        <v>1.00399564902103</v>
      </c>
      <c r="K39" s="21" t="s">
        <v>163</v>
      </c>
      <c r="L39" s="107">
        <v>152</v>
      </c>
      <c r="M39" s="108">
        <v>221</v>
      </c>
      <c r="N39" s="45">
        <v>224</v>
      </c>
      <c r="O39" s="18">
        <f>N39/M39</f>
        <v>1.01357466063348</v>
      </c>
    </row>
    <row r="40" ht="16.5" customHeight="1" spans="1:15">
      <c r="A40" s="33" t="s">
        <v>112</v>
      </c>
      <c r="B40" s="52">
        <v>175303</v>
      </c>
      <c r="C40" s="52">
        <v>53349</v>
      </c>
      <c r="D40" s="52">
        <v>34964</v>
      </c>
      <c r="E40" s="5"/>
      <c r="F40" s="34" t="s">
        <v>113</v>
      </c>
      <c r="G40" s="85">
        <f t="shared" ref="G40:I40" si="12">SUM(G41:G45)</f>
        <v>74400</v>
      </c>
      <c r="H40" s="85">
        <f t="shared" si="12"/>
        <v>74400</v>
      </c>
      <c r="I40" s="85">
        <f t="shared" si="12"/>
        <v>64533</v>
      </c>
      <c r="J40" s="18">
        <f t="shared" si="11"/>
        <v>0.867379032258065</v>
      </c>
      <c r="K40" s="93" t="s">
        <v>116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164</v>
      </c>
      <c r="G41" s="51">
        <f>B7</f>
        <v>35250</v>
      </c>
      <c r="H41" s="51">
        <f>C7</f>
        <v>35250</v>
      </c>
      <c r="I41" s="51">
        <f>D7</f>
        <v>27566</v>
      </c>
      <c r="J41" s="5">
        <f t="shared" si="11"/>
        <v>0.782014184397163</v>
      </c>
      <c r="K41" s="21" t="s">
        <v>119</v>
      </c>
      <c r="L41" s="45">
        <v>60754</v>
      </c>
      <c r="M41" s="45">
        <v>60754</v>
      </c>
      <c r="N41" s="45">
        <v>55768</v>
      </c>
      <c r="O41" s="18">
        <f t="shared" ref="O37:O46" si="13">N41/M41</f>
        <v>0.917931329624387</v>
      </c>
    </row>
    <row r="42" ht="16.5" customHeight="1" spans="1:15">
      <c r="A42" s="33"/>
      <c r="B42" s="51"/>
      <c r="C42" s="52"/>
      <c r="D42" s="52"/>
      <c r="E42" s="5"/>
      <c r="F42" s="35" t="s">
        <v>165</v>
      </c>
      <c r="G42" s="51">
        <f>B11*1.5</f>
        <v>21900</v>
      </c>
      <c r="H42" s="51">
        <f>C11*1.5</f>
        <v>21900</v>
      </c>
      <c r="I42" s="51">
        <f>D11*1.5</f>
        <v>23844</v>
      </c>
      <c r="J42" s="5">
        <f t="shared" si="11"/>
        <v>1.08876712328767</v>
      </c>
      <c r="K42" s="1" t="s">
        <v>166</v>
      </c>
      <c r="L42" s="104">
        <v>22025</v>
      </c>
      <c r="M42" s="15">
        <v>22025</v>
      </c>
      <c r="N42" s="4">
        <v>21817</v>
      </c>
      <c r="O42" s="18">
        <f t="shared" si="13"/>
        <v>0.9905561861521</v>
      </c>
    </row>
    <row r="43" ht="17.25" customHeight="1" spans="1:15">
      <c r="A43" s="33"/>
      <c r="B43" s="51"/>
      <c r="C43" s="51"/>
      <c r="D43" s="52"/>
      <c r="E43" s="5"/>
      <c r="F43" s="35" t="s">
        <v>118</v>
      </c>
      <c r="G43" s="51">
        <f>B12*1.5</f>
        <v>11820</v>
      </c>
      <c r="H43" s="51">
        <f>C12*1.5</f>
        <v>11820</v>
      </c>
      <c r="I43" s="51">
        <f>D12*1.5</f>
        <v>10668</v>
      </c>
      <c r="J43" s="5">
        <f t="shared" si="11"/>
        <v>0.90253807106599</v>
      </c>
      <c r="K43" s="1" t="s">
        <v>167</v>
      </c>
      <c r="L43" s="104">
        <v>33311</v>
      </c>
      <c r="M43" s="15">
        <v>33311</v>
      </c>
      <c r="N43" s="4">
        <v>33308</v>
      </c>
      <c r="O43" s="18">
        <f t="shared" si="13"/>
        <v>0.999909939659572</v>
      </c>
    </row>
    <row r="44" ht="21" customHeight="1" spans="1:15">
      <c r="A44" s="33"/>
      <c r="B44" s="51"/>
      <c r="C44" s="51"/>
      <c r="D44" s="52"/>
      <c r="E44" s="5"/>
      <c r="F44" s="35" t="s">
        <v>120</v>
      </c>
      <c r="G44" s="51">
        <v>75</v>
      </c>
      <c r="H44" s="51">
        <v>75</v>
      </c>
      <c r="I44" s="51">
        <v>61</v>
      </c>
      <c r="J44" s="5">
        <f t="shared" si="11"/>
        <v>0.813333333333333</v>
      </c>
      <c r="K44" s="21" t="s">
        <v>121</v>
      </c>
      <c r="L44" s="96">
        <v>50923</v>
      </c>
      <c r="M44" s="96">
        <v>50923</v>
      </c>
      <c r="N44" s="96">
        <v>48984</v>
      </c>
      <c r="O44" s="18">
        <f t="shared" si="13"/>
        <v>0.961922903206802</v>
      </c>
    </row>
    <row r="45" ht="15.95" customHeight="1" spans="1:15">
      <c r="A45" s="33"/>
      <c r="B45" s="51"/>
      <c r="C45" s="51"/>
      <c r="D45" s="52"/>
      <c r="E45" s="5"/>
      <c r="F45" s="102" t="s">
        <v>168</v>
      </c>
      <c r="G45" s="4">
        <v>5355</v>
      </c>
      <c r="H45" s="4">
        <v>5355</v>
      </c>
      <c r="I45" s="4">
        <v>2394</v>
      </c>
      <c r="J45" s="5">
        <f t="shared" si="11"/>
        <v>0.447058823529412</v>
      </c>
      <c r="K45" s="21" t="s">
        <v>123</v>
      </c>
      <c r="L45" s="96">
        <f>L41-L44</f>
        <v>9831</v>
      </c>
      <c r="M45" s="96">
        <f>M41-M44</f>
        <v>9831</v>
      </c>
      <c r="N45" s="96">
        <v>6784</v>
      </c>
      <c r="O45" s="18">
        <f t="shared" si="13"/>
        <v>0.690062048621707</v>
      </c>
    </row>
    <row r="46" ht="15.95" customHeight="1" spans="1:15">
      <c r="A46" s="28" t="s">
        <v>124</v>
      </c>
      <c r="B46" s="52">
        <f>SUM(B5,B33,B37:B40)</f>
        <v>420215</v>
      </c>
      <c r="C46" s="52"/>
      <c r="D46" s="52">
        <f>SUM(D5,D33,D37:D40)</f>
        <v>539289</v>
      </c>
      <c r="E46" s="5"/>
      <c r="F46" s="36" t="s">
        <v>125</v>
      </c>
      <c r="G46" s="85">
        <f t="shared" ref="G46:I46" si="14">SUM(G39:G40)</f>
        <v>212300</v>
      </c>
      <c r="H46" s="85">
        <f t="shared" si="14"/>
        <v>212300</v>
      </c>
      <c r="I46" s="85">
        <f t="shared" si="14"/>
        <v>202984</v>
      </c>
      <c r="J46" s="18">
        <f t="shared" si="11"/>
        <v>0.956118699952897</v>
      </c>
      <c r="K46" s="21" t="s">
        <v>126</v>
      </c>
      <c r="L46" s="111">
        <f>71330+9831</f>
        <v>81161</v>
      </c>
      <c r="M46" s="111">
        <f>71330+9831</f>
        <v>81161</v>
      </c>
      <c r="N46" s="111">
        <v>78114</v>
      </c>
      <c r="O46" s="18">
        <f t="shared" si="13"/>
        <v>0.962457337883959</v>
      </c>
    </row>
  </sheetData>
  <mergeCells count="8">
    <mergeCell ref="A1:O1"/>
    <mergeCell ref="A3:E3"/>
    <mergeCell ref="F3:J3"/>
    <mergeCell ref="K3:O3"/>
    <mergeCell ref="K17:O17"/>
    <mergeCell ref="K34:O34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A1" sqref="A1:O1"/>
    </sheetView>
  </sheetViews>
  <sheetFormatPr defaultColWidth="9" defaultRowHeight="12.75"/>
  <cols>
    <col min="1" max="1" width="25.875" style="62" customWidth="1"/>
    <col min="2" max="2" width="8.875" style="62" customWidth="1"/>
    <col min="3" max="3" width="9" style="62"/>
    <col min="4" max="4" width="7.875" style="62" customWidth="1"/>
    <col min="5" max="5" width="9.5" style="62" customWidth="1"/>
    <col min="6" max="6" width="29.375" style="62" customWidth="1"/>
    <col min="7" max="8" width="9.375" style="62" customWidth="1"/>
    <col min="9" max="9" width="8" style="62" customWidth="1"/>
    <col min="10" max="10" width="9.25" style="62" customWidth="1"/>
    <col min="11" max="11" width="37.75" style="62" customWidth="1"/>
    <col min="12" max="12" width="9.375" style="62" customWidth="1"/>
    <col min="13" max="13" width="8.875" style="62" customWidth="1"/>
    <col min="14" max="14" width="7.875" style="62" customWidth="1"/>
    <col min="15" max="15" width="9.875" style="63" customWidth="1"/>
    <col min="16" max="16" width="9" style="62"/>
    <col min="17" max="17" width="14.375" style="62" customWidth="1"/>
    <col min="18" max="16384" width="9" style="62"/>
  </cols>
  <sheetData>
    <row r="1" ht="33.75" spans="1:15">
      <c r="A1" s="64" t="s">
        <v>428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65" t="s">
        <v>1</v>
      </c>
      <c r="M2" s="65" t="s">
        <v>2</v>
      </c>
      <c r="N2" s="65"/>
      <c r="O2" s="39"/>
    </row>
    <row r="3" ht="19.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7.25" customHeight="1" spans="1:15">
      <c r="A4" s="14" t="s">
        <v>6</v>
      </c>
      <c r="B4" s="83" t="s">
        <v>429</v>
      </c>
      <c r="C4" s="15" t="s">
        <v>425</v>
      </c>
      <c r="D4" s="15" t="s">
        <v>9</v>
      </c>
      <c r="E4" s="15" t="s">
        <v>10</v>
      </c>
      <c r="F4" s="15" t="s">
        <v>6</v>
      </c>
      <c r="G4" s="83" t="s">
        <v>429</v>
      </c>
      <c r="H4" s="15" t="s">
        <v>425</v>
      </c>
      <c r="I4" s="15" t="s">
        <v>11</v>
      </c>
      <c r="J4" s="15" t="s">
        <v>10</v>
      </c>
      <c r="K4" s="15" t="s">
        <v>6</v>
      </c>
      <c r="L4" s="83" t="s">
        <v>429</v>
      </c>
      <c r="M4" s="15" t="s">
        <v>425</v>
      </c>
      <c r="N4" s="15" t="s">
        <v>9</v>
      </c>
      <c r="O4" s="15" t="s">
        <v>10</v>
      </c>
    </row>
    <row r="5" ht="17.25" customHeight="1" spans="1:15">
      <c r="A5" s="66" t="s">
        <v>329</v>
      </c>
      <c r="B5" s="52">
        <f>SUM(B6,B22)</f>
        <v>81016</v>
      </c>
      <c r="C5" s="52">
        <f>SUM(C6,C22)</f>
        <v>100500</v>
      </c>
      <c r="D5" s="52">
        <f t="shared" ref="D5:D21" si="0">C5-B5</f>
        <v>19484</v>
      </c>
      <c r="E5" s="18">
        <f t="shared" ref="E5:E24" si="1">D5/B5</f>
        <v>0.240495704552187</v>
      </c>
      <c r="F5" s="66" t="s">
        <v>330</v>
      </c>
      <c r="G5" s="19">
        <f>SUM(G6:G24)</f>
        <v>141264</v>
      </c>
      <c r="H5" s="19">
        <f>SUM(H6:H24)</f>
        <v>176199</v>
      </c>
      <c r="I5" s="19">
        <f>SUM(I6:I24)</f>
        <v>34935</v>
      </c>
      <c r="J5" s="18">
        <f t="shared" ref="J5:J19" si="2">I5/G5</f>
        <v>0.247302922188243</v>
      </c>
      <c r="K5" s="46" t="s">
        <v>14</v>
      </c>
      <c r="L5" s="52">
        <f>SUM(L6:L14)</f>
        <v>39684</v>
      </c>
      <c r="M5" s="52">
        <f>SUM(M6:M14)</f>
        <v>90417</v>
      </c>
      <c r="N5" s="52">
        <f>SUM(N6:N14)</f>
        <v>50733</v>
      </c>
      <c r="O5" s="18">
        <f t="shared" ref="O5:O17" si="3">N5/L5</f>
        <v>1.27842455397641</v>
      </c>
    </row>
    <row r="6" ht="17.25" customHeight="1" spans="1:15">
      <c r="A6" s="66" t="s">
        <v>15</v>
      </c>
      <c r="B6" s="52">
        <f>SUM(B7,B10:B21)</f>
        <v>50788</v>
      </c>
      <c r="C6" s="52">
        <f>SUM(C7,C10:C21)</f>
        <v>60541</v>
      </c>
      <c r="D6" s="52">
        <f>SUM(D7,D10:D21)</f>
        <v>9753</v>
      </c>
      <c r="E6" s="18">
        <f t="shared" si="1"/>
        <v>0.192033551232575</v>
      </c>
      <c r="F6" s="67" t="s">
        <v>228</v>
      </c>
      <c r="G6" s="22">
        <v>24907</v>
      </c>
      <c r="H6" s="22">
        <v>32378</v>
      </c>
      <c r="I6" s="51">
        <f t="shared" ref="I6:I31" si="4">H6-G6</f>
        <v>7471</v>
      </c>
      <c r="J6" s="5">
        <f t="shared" si="2"/>
        <v>0.299955835708837</v>
      </c>
      <c r="K6" s="42" t="s">
        <v>331</v>
      </c>
      <c r="L6" s="51">
        <v>106</v>
      </c>
      <c r="M6" s="51">
        <v>236</v>
      </c>
      <c r="N6" s="51">
        <f>M6-L6</f>
        <v>130</v>
      </c>
      <c r="O6" s="5">
        <f t="shared" si="3"/>
        <v>1.22641509433962</v>
      </c>
    </row>
    <row r="7" ht="17.25" customHeight="1" spans="1:15">
      <c r="A7" s="67" t="s">
        <v>18</v>
      </c>
      <c r="B7" s="51">
        <f>SUM(B8:B9)</f>
        <v>10213</v>
      </c>
      <c r="C7" s="51">
        <f>SUM(C8:C9)</f>
        <v>11874</v>
      </c>
      <c r="D7" s="51">
        <f>SUM(D8:D9)</f>
        <v>1661</v>
      </c>
      <c r="E7" s="5">
        <f t="shared" si="1"/>
        <v>0.162635856261627</v>
      </c>
      <c r="F7" s="67" t="s">
        <v>229</v>
      </c>
      <c r="G7" s="22">
        <v>294</v>
      </c>
      <c r="H7" s="22">
        <v>292</v>
      </c>
      <c r="I7" s="51">
        <f t="shared" si="4"/>
        <v>-2</v>
      </c>
      <c r="J7" s="5">
        <f t="shared" si="2"/>
        <v>-0.00680272108843537</v>
      </c>
      <c r="K7" s="42" t="s">
        <v>332</v>
      </c>
      <c r="L7" s="51"/>
      <c r="M7" s="51">
        <v>567</v>
      </c>
      <c r="N7" s="51">
        <f t="shared" ref="N7:N17" si="5">M7-L7</f>
        <v>567</v>
      </c>
      <c r="O7" s="5"/>
    </row>
    <row r="8" ht="17.25" customHeight="1" spans="1:15">
      <c r="A8" s="67" t="s">
        <v>297</v>
      </c>
      <c r="B8" s="51">
        <v>10213</v>
      </c>
      <c r="C8" s="51">
        <f>11874-78</f>
        <v>11796</v>
      </c>
      <c r="D8" s="51">
        <f t="shared" si="0"/>
        <v>1583</v>
      </c>
      <c r="E8" s="5">
        <f t="shared" si="1"/>
        <v>0.154998531283658</v>
      </c>
      <c r="F8" s="67" t="s">
        <v>231</v>
      </c>
      <c r="G8" s="22">
        <v>7301</v>
      </c>
      <c r="H8" s="22">
        <v>8660</v>
      </c>
      <c r="I8" s="51">
        <f t="shared" si="4"/>
        <v>1359</v>
      </c>
      <c r="J8" s="5">
        <f t="shared" si="2"/>
        <v>0.186138885084235</v>
      </c>
      <c r="K8" s="42" t="s">
        <v>333</v>
      </c>
      <c r="L8" s="51">
        <f>36008</f>
        <v>36008</v>
      </c>
      <c r="M8" s="51">
        <v>82908</v>
      </c>
      <c r="N8" s="51">
        <f t="shared" si="5"/>
        <v>46900</v>
      </c>
      <c r="O8" s="5">
        <f t="shared" si="3"/>
        <v>1.30248833592535</v>
      </c>
    </row>
    <row r="9" ht="17.25" customHeight="1" spans="1:15">
      <c r="A9" s="67" t="s">
        <v>299</v>
      </c>
      <c r="B9" s="51"/>
      <c r="C9" s="51">
        <v>78</v>
      </c>
      <c r="D9" s="51">
        <f t="shared" si="0"/>
        <v>78</v>
      </c>
      <c r="E9" s="5"/>
      <c r="F9" s="67" t="s">
        <v>233</v>
      </c>
      <c r="G9" s="22">
        <v>44840</v>
      </c>
      <c r="H9" s="22">
        <v>51244</v>
      </c>
      <c r="I9" s="51">
        <f t="shared" si="4"/>
        <v>6404</v>
      </c>
      <c r="J9" s="5">
        <f t="shared" si="2"/>
        <v>0.142818911685995</v>
      </c>
      <c r="K9" s="42" t="s">
        <v>334</v>
      </c>
      <c r="L9" s="51">
        <v>657</v>
      </c>
      <c r="M9" s="51">
        <v>653</v>
      </c>
      <c r="N9" s="51">
        <f t="shared" si="5"/>
        <v>-4</v>
      </c>
      <c r="O9" s="5">
        <f t="shared" si="3"/>
        <v>-0.0060882800608828</v>
      </c>
    </row>
    <row r="10" ht="17.25" customHeight="1" spans="1:15">
      <c r="A10" s="67" t="s">
        <v>301</v>
      </c>
      <c r="B10" s="51">
        <v>15005</v>
      </c>
      <c r="C10" s="51">
        <v>20478</v>
      </c>
      <c r="D10" s="51">
        <f t="shared" si="0"/>
        <v>5473</v>
      </c>
      <c r="E10" s="5">
        <f t="shared" si="1"/>
        <v>0.364745084971676</v>
      </c>
      <c r="F10" s="67" t="s">
        <v>235</v>
      </c>
      <c r="G10" s="22">
        <v>1637</v>
      </c>
      <c r="H10" s="22">
        <v>1753</v>
      </c>
      <c r="I10" s="51">
        <f t="shared" si="4"/>
        <v>116</v>
      </c>
      <c r="J10" s="5">
        <f t="shared" si="2"/>
        <v>0.0708613317043372</v>
      </c>
      <c r="K10" s="42" t="s">
        <v>388</v>
      </c>
      <c r="L10" s="51">
        <f>1496</f>
        <v>1496</v>
      </c>
      <c r="M10" s="51">
        <v>3710</v>
      </c>
      <c r="N10" s="51">
        <f t="shared" si="5"/>
        <v>2214</v>
      </c>
      <c r="O10" s="5">
        <f t="shared" si="3"/>
        <v>1.47994652406417</v>
      </c>
    </row>
    <row r="11" ht="17.25" customHeight="1" spans="1:15">
      <c r="A11" s="67" t="s">
        <v>30</v>
      </c>
      <c r="B11" s="51">
        <v>8164</v>
      </c>
      <c r="C11" s="51">
        <v>9544</v>
      </c>
      <c r="D11" s="51">
        <f t="shared" si="0"/>
        <v>1380</v>
      </c>
      <c r="E11" s="5">
        <f t="shared" si="1"/>
        <v>0.169034786869182</v>
      </c>
      <c r="F11" s="67" t="s">
        <v>237</v>
      </c>
      <c r="G11" s="22">
        <v>1550</v>
      </c>
      <c r="H11" s="22">
        <v>2506</v>
      </c>
      <c r="I11" s="51">
        <f t="shared" si="4"/>
        <v>956</v>
      </c>
      <c r="J11" s="5">
        <f t="shared" si="2"/>
        <v>0.616774193548387</v>
      </c>
      <c r="K11" s="42" t="s">
        <v>389</v>
      </c>
      <c r="L11" s="51">
        <v>45</v>
      </c>
      <c r="M11" s="51">
        <v>127</v>
      </c>
      <c r="N11" s="51">
        <f t="shared" si="5"/>
        <v>82</v>
      </c>
      <c r="O11" s="5">
        <f t="shared" si="3"/>
        <v>1.82222222222222</v>
      </c>
    </row>
    <row r="12" ht="17.25" customHeight="1" spans="1:15">
      <c r="A12" s="67" t="s">
        <v>33</v>
      </c>
      <c r="B12" s="51">
        <v>3658</v>
      </c>
      <c r="C12" s="51">
        <v>3432</v>
      </c>
      <c r="D12" s="51">
        <f t="shared" si="0"/>
        <v>-226</v>
      </c>
      <c r="E12" s="5">
        <f t="shared" si="1"/>
        <v>-0.0617823947512302</v>
      </c>
      <c r="F12" s="67" t="s">
        <v>239</v>
      </c>
      <c r="G12" s="22">
        <v>8759</v>
      </c>
      <c r="H12" s="22">
        <v>14341</v>
      </c>
      <c r="I12" s="51">
        <f t="shared" si="4"/>
        <v>5582</v>
      </c>
      <c r="J12" s="5">
        <f t="shared" si="2"/>
        <v>0.637287361570956</v>
      </c>
      <c r="K12" s="42" t="s">
        <v>390</v>
      </c>
      <c r="L12" s="51">
        <v>763</v>
      </c>
      <c r="M12" s="51">
        <v>1483</v>
      </c>
      <c r="N12" s="51">
        <f t="shared" si="5"/>
        <v>720</v>
      </c>
      <c r="O12" s="5">
        <f t="shared" si="3"/>
        <v>0.943643512450852</v>
      </c>
    </row>
    <row r="13" ht="17.25" customHeight="1" spans="1:15">
      <c r="A13" s="67" t="s">
        <v>36</v>
      </c>
      <c r="B13" s="51">
        <v>1902</v>
      </c>
      <c r="C13" s="51">
        <v>1952</v>
      </c>
      <c r="D13" s="51">
        <f t="shared" si="0"/>
        <v>50</v>
      </c>
      <c r="E13" s="5">
        <f t="shared" si="1"/>
        <v>0.0262881177707676</v>
      </c>
      <c r="F13" s="67" t="s">
        <v>273</v>
      </c>
      <c r="G13" s="22">
        <v>16163</v>
      </c>
      <c r="H13" s="22">
        <v>18663</v>
      </c>
      <c r="I13" s="51">
        <f t="shared" si="4"/>
        <v>2500</v>
      </c>
      <c r="J13" s="5">
        <f t="shared" si="2"/>
        <v>0.154674256016829</v>
      </c>
      <c r="K13" s="42" t="s">
        <v>391</v>
      </c>
      <c r="L13" s="51">
        <v>282</v>
      </c>
      <c r="M13" s="51">
        <v>324</v>
      </c>
      <c r="N13" s="51">
        <f t="shared" si="5"/>
        <v>42</v>
      </c>
      <c r="O13" s="5">
        <f t="shared" si="3"/>
        <v>0.148936170212766</v>
      </c>
    </row>
    <row r="14" ht="17.25" customHeight="1" spans="1:15">
      <c r="A14" s="67" t="s">
        <v>39</v>
      </c>
      <c r="B14" s="51">
        <v>2816</v>
      </c>
      <c r="C14" s="51">
        <v>3298</v>
      </c>
      <c r="D14" s="51">
        <f t="shared" si="0"/>
        <v>482</v>
      </c>
      <c r="E14" s="5">
        <f t="shared" si="1"/>
        <v>0.171164772727273</v>
      </c>
      <c r="F14" s="67" t="s">
        <v>241</v>
      </c>
      <c r="G14" s="22">
        <v>761</v>
      </c>
      <c r="H14" s="22">
        <v>1309</v>
      </c>
      <c r="I14" s="51">
        <f t="shared" si="4"/>
        <v>548</v>
      </c>
      <c r="J14" s="5">
        <f t="shared" si="2"/>
        <v>0.720105124835742</v>
      </c>
      <c r="K14" s="42" t="s">
        <v>392</v>
      </c>
      <c r="L14" s="51">
        <v>327</v>
      </c>
      <c r="M14" s="51">
        <v>409</v>
      </c>
      <c r="N14" s="51">
        <f t="shared" si="5"/>
        <v>82</v>
      </c>
      <c r="O14" s="5">
        <f t="shared" si="3"/>
        <v>0.250764525993884</v>
      </c>
    </row>
    <row r="15" ht="17.25" customHeight="1" spans="1:15">
      <c r="A15" s="67" t="s">
        <v>42</v>
      </c>
      <c r="B15" s="51">
        <v>1447</v>
      </c>
      <c r="C15" s="51">
        <v>1039</v>
      </c>
      <c r="D15" s="51">
        <f t="shared" si="0"/>
        <v>-408</v>
      </c>
      <c r="E15" s="5">
        <f t="shared" si="1"/>
        <v>-0.281962681409813</v>
      </c>
      <c r="F15" s="67" t="s">
        <v>274</v>
      </c>
      <c r="G15" s="22">
        <v>2073</v>
      </c>
      <c r="H15" s="22">
        <v>3642</v>
      </c>
      <c r="I15" s="51">
        <f t="shared" si="4"/>
        <v>1569</v>
      </c>
      <c r="J15" s="5">
        <f t="shared" si="2"/>
        <v>0.756874095513748</v>
      </c>
      <c r="K15" s="66" t="s">
        <v>32</v>
      </c>
      <c r="L15" s="52">
        <v>8907</v>
      </c>
      <c r="M15" s="75">
        <v>8930</v>
      </c>
      <c r="N15" s="52">
        <f t="shared" si="5"/>
        <v>23</v>
      </c>
      <c r="O15" s="18">
        <f t="shared" si="3"/>
        <v>0.00258223868867183</v>
      </c>
    </row>
    <row r="16" ht="17.25" customHeight="1" spans="1:15">
      <c r="A16" s="67" t="s">
        <v>45</v>
      </c>
      <c r="B16" s="51">
        <v>597</v>
      </c>
      <c r="C16" s="51">
        <v>749</v>
      </c>
      <c r="D16" s="51">
        <f t="shared" si="0"/>
        <v>152</v>
      </c>
      <c r="E16" s="5">
        <f t="shared" si="1"/>
        <v>0.254606365159129</v>
      </c>
      <c r="F16" s="67" t="s">
        <v>275</v>
      </c>
      <c r="G16" s="22">
        <v>17921</v>
      </c>
      <c r="H16" s="22">
        <v>26772</v>
      </c>
      <c r="I16" s="51">
        <f t="shared" si="4"/>
        <v>8851</v>
      </c>
      <c r="J16" s="5">
        <f t="shared" si="2"/>
        <v>0.493889849896769</v>
      </c>
      <c r="K16" s="66" t="s">
        <v>35</v>
      </c>
      <c r="L16" s="52">
        <v>2996</v>
      </c>
      <c r="M16" s="75">
        <v>5087</v>
      </c>
      <c r="N16" s="75">
        <f t="shared" si="5"/>
        <v>2091</v>
      </c>
      <c r="O16" s="18">
        <f t="shared" si="3"/>
        <v>0.697930574098798</v>
      </c>
    </row>
    <row r="17" ht="17.25" customHeight="1" spans="1:15">
      <c r="A17" s="67" t="s">
        <v>47</v>
      </c>
      <c r="B17" s="51">
        <v>1601</v>
      </c>
      <c r="C17" s="51">
        <v>572</v>
      </c>
      <c r="D17" s="51">
        <f t="shared" si="0"/>
        <v>-1029</v>
      </c>
      <c r="E17" s="5">
        <f t="shared" si="1"/>
        <v>-0.642723297938788</v>
      </c>
      <c r="F17" s="67" t="s">
        <v>244</v>
      </c>
      <c r="G17" s="22">
        <v>2372</v>
      </c>
      <c r="H17" s="22">
        <v>4472</v>
      </c>
      <c r="I17" s="51">
        <f t="shared" si="4"/>
        <v>2100</v>
      </c>
      <c r="J17" s="5">
        <f t="shared" si="2"/>
        <v>0.885328836424958</v>
      </c>
      <c r="K17" s="46" t="s">
        <v>41</v>
      </c>
      <c r="L17" s="52">
        <f>SUM(L16,L15,L5)</f>
        <v>51587</v>
      </c>
      <c r="M17" s="75">
        <f>SUM(M16,M15,M5)</f>
        <v>104434</v>
      </c>
      <c r="N17" s="75">
        <f t="shared" si="5"/>
        <v>52847</v>
      </c>
      <c r="O17" s="18">
        <f t="shared" si="3"/>
        <v>1.02442475817551</v>
      </c>
    </row>
    <row r="18" ht="17.25" customHeight="1" spans="1:15">
      <c r="A18" s="67" t="s">
        <v>50</v>
      </c>
      <c r="B18" s="51">
        <v>1568</v>
      </c>
      <c r="C18" s="51">
        <v>1477</v>
      </c>
      <c r="D18" s="51">
        <f t="shared" si="0"/>
        <v>-91</v>
      </c>
      <c r="E18" s="5">
        <f t="shared" si="1"/>
        <v>-0.0580357142857143</v>
      </c>
      <c r="F18" s="67" t="s">
        <v>276</v>
      </c>
      <c r="G18" s="22">
        <v>1134</v>
      </c>
      <c r="H18" s="22">
        <v>1863</v>
      </c>
      <c r="I18" s="51">
        <f t="shared" si="4"/>
        <v>729</v>
      </c>
      <c r="J18" s="5">
        <f t="shared" si="2"/>
        <v>0.642857142857143</v>
      </c>
      <c r="K18" s="12" t="s">
        <v>306</v>
      </c>
      <c r="L18" s="13"/>
      <c r="M18" s="13"/>
      <c r="N18" s="13"/>
      <c r="O18" s="40"/>
    </row>
    <row r="19" ht="17.25" customHeight="1" spans="1:15">
      <c r="A19" s="67" t="s">
        <v>53</v>
      </c>
      <c r="B19" s="51">
        <v>627</v>
      </c>
      <c r="C19" s="51">
        <v>756</v>
      </c>
      <c r="D19" s="51">
        <f t="shared" si="0"/>
        <v>129</v>
      </c>
      <c r="E19" s="5">
        <f t="shared" si="1"/>
        <v>0.205741626794258</v>
      </c>
      <c r="F19" s="67" t="s">
        <v>277</v>
      </c>
      <c r="G19" s="22">
        <v>2672</v>
      </c>
      <c r="H19" s="22">
        <v>2580</v>
      </c>
      <c r="I19" s="51">
        <f t="shared" si="4"/>
        <v>-92</v>
      </c>
      <c r="J19" s="5">
        <f t="shared" si="2"/>
        <v>-0.0344311377245509</v>
      </c>
      <c r="K19" s="15" t="s">
        <v>6</v>
      </c>
      <c r="L19" s="84" t="s">
        <v>429</v>
      </c>
      <c r="M19" s="4" t="s">
        <v>425</v>
      </c>
      <c r="N19" s="4" t="s">
        <v>11</v>
      </c>
      <c r="O19" s="4" t="s">
        <v>10</v>
      </c>
    </row>
    <row r="20" ht="17.25" customHeight="1" spans="1:15">
      <c r="A20" s="67" t="s">
        <v>247</v>
      </c>
      <c r="B20" s="51">
        <v>2000</v>
      </c>
      <c r="C20" s="51">
        <v>2733</v>
      </c>
      <c r="D20" s="51">
        <f t="shared" si="0"/>
        <v>733</v>
      </c>
      <c r="E20" s="5">
        <f t="shared" si="1"/>
        <v>0.3665</v>
      </c>
      <c r="F20" s="67" t="s">
        <v>395</v>
      </c>
      <c r="G20" s="22">
        <v>10</v>
      </c>
      <c r="H20" s="22"/>
      <c r="I20" s="51">
        <f t="shared" si="4"/>
        <v>-10</v>
      </c>
      <c r="J20" s="5"/>
      <c r="K20" s="46" t="s">
        <v>49</v>
      </c>
      <c r="L20" s="52">
        <f>SUM(L21:L39)</f>
        <v>46347</v>
      </c>
      <c r="M20" s="52">
        <f>SUM(M21:M39)</f>
        <v>96769</v>
      </c>
      <c r="N20" s="52">
        <f>SUM(N21:N39)</f>
        <v>50422</v>
      </c>
      <c r="O20" s="18">
        <f t="shared" ref="O20:O42" si="6">N20/L20</f>
        <v>1.08792370595724</v>
      </c>
    </row>
    <row r="21" ht="17.25" customHeight="1" spans="1:15">
      <c r="A21" s="67" t="s">
        <v>250</v>
      </c>
      <c r="B21" s="51">
        <v>1190</v>
      </c>
      <c r="C21" s="51">
        <v>2637</v>
      </c>
      <c r="D21" s="51">
        <f t="shared" si="0"/>
        <v>1447</v>
      </c>
      <c r="E21" s="5">
        <f t="shared" si="1"/>
        <v>1.21596638655462</v>
      </c>
      <c r="F21" s="67" t="s">
        <v>396</v>
      </c>
      <c r="G21" s="22">
        <v>895</v>
      </c>
      <c r="H21" s="22">
        <v>1291</v>
      </c>
      <c r="I21" s="51">
        <f t="shared" si="4"/>
        <v>396</v>
      </c>
      <c r="J21" s="5">
        <f t="shared" ref="J21:J31" si="7">I21/G21</f>
        <v>0.442458100558659</v>
      </c>
      <c r="K21" s="42" t="s">
        <v>341</v>
      </c>
      <c r="L21" s="51">
        <v>2655</v>
      </c>
      <c r="M21" s="51">
        <v>1191</v>
      </c>
      <c r="N21" s="51">
        <f t="shared" ref="N21:N41" si="8">M21-L21</f>
        <v>-1464</v>
      </c>
      <c r="O21" s="5">
        <f t="shared" si="6"/>
        <v>-0.551412429378531</v>
      </c>
    </row>
    <row r="22" ht="17.25" customHeight="1" spans="1:15">
      <c r="A22" s="66" t="s">
        <v>68</v>
      </c>
      <c r="B22" s="52">
        <f>SUM(B23,B28:B32)</f>
        <v>30228</v>
      </c>
      <c r="C22" s="52">
        <f>SUM(C23,C28:C32)</f>
        <v>39959</v>
      </c>
      <c r="D22" s="52">
        <f>SUM(D23,D28:D32)</f>
        <v>9731</v>
      </c>
      <c r="E22" s="18">
        <f t="shared" si="1"/>
        <v>0.32192007410348</v>
      </c>
      <c r="F22" s="67" t="s">
        <v>63</v>
      </c>
      <c r="G22" s="22">
        <v>4200</v>
      </c>
      <c r="H22" s="22">
        <v>3103</v>
      </c>
      <c r="I22" s="51">
        <f t="shared" si="4"/>
        <v>-1097</v>
      </c>
      <c r="J22" s="5">
        <f t="shared" si="7"/>
        <v>-0.261190476190476</v>
      </c>
      <c r="K22" s="42" t="s">
        <v>342</v>
      </c>
      <c r="L22" s="51">
        <v>56</v>
      </c>
      <c r="M22" s="51">
        <v>63</v>
      </c>
      <c r="N22" s="51">
        <f t="shared" si="8"/>
        <v>7</v>
      </c>
      <c r="O22" s="5">
        <f t="shared" si="6"/>
        <v>0.125</v>
      </c>
    </row>
    <row r="23" ht="17.25" customHeight="1" spans="1:15">
      <c r="A23" s="66" t="s">
        <v>71</v>
      </c>
      <c r="B23" s="52">
        <f>SUM(B24:B27)</f>
        <v>1741</v>
      </c>
      <c r="C23" s="52">
        <f>SUM(C24:C27)</f>
        <v>2196</v>
      </c>
      <c r="D23" s="52">
        <f>SUM(D24:D27)</f>
        <v>455</v>
      </c>
      <c r="E23" s="18">
        <f t="shared" si="1"/>
        <v>0.261344055140724</v>
      </c>
      <c r="F23" s="67" t="s">
        <v>397</v>
      </c>
      <c r="G23" s="22">
        <f>574+541</f>
        <v>1115</v>
      </c>
      <c r="H23" s="22">
        <v>947</v>
      </c>
      <c r="I23" s="51">
        <f t="shared" si="4"/>
        <v>-168</v>
      </c>
      <c r="J23" s="5">
        <f t="shared" si="7"/>
        <v>-0.15067264573991</v>
      </c>
      <c r="K23" s="42" t="s">
        <v>430</v>
      </c>
      <c r="L23" s="51">
        <v>291</v>
      </c>
      <c r="M23" s="51">
        <v>447</v>
      </c>
      <c r="N23" s="51">
        <f t="shared" si="8"/>
        <v>156</v>
      </c>
      <c r="O23" s="5">
        <f t="shared" si="6"/>
        <v>0.536082474226804</v>
      </c>
    </row>
    <row r="24" ht="17.25" customHeight="1" spans="1:15">
      <c r="A24" s="67" t="s">
        <v>398</v>
      </c>
      <c r="B24" s="51">
        <v>131</v>
      </c>
      <c r="C24" s="51">
        <v>139</v>
      </c>
      <c r="D24" s="51">
        <f t="shared" ref="D24:D38" si="9">C24-B24</f>
        <v>8</v>
      </c>
      <c r="E24" s="5">
        <f t="shared" si="1"/>
        <v>0.0610687022900763</v>
      </c>
      <c r="F24" s="67" t="s">
        <v>257</v>
      </c>
      <c r="G24" s="22">
        <v>2660</v>
      </c>
      <c r="H24" s="22">
        <v>383</v>
      </c>
      <c r="I24" s="51">
        <f t="shared" si="4"/>
        <v>-2277</v>
      </c>
      <c r="J24" s="5">
        <f t="shared" si="7"/>
        <v>-0.856015037593985</v>
      </c>
      <c r="K24" s="42" t="s">
        <v>344</v>
      </c>
      <c r="L24" s="51">
        <v>189</v>
      </c>
      <c r="M24" s="51">
        <v>492</v>
      </c>
      <c r="N24" s="51">
        <f t="shared" si="8"/>
        <v>303</v>
      </c>
      <c r="O24" s="5">
        <f t="shared" si="6"/>
        <v>1.6031746031746</v>
      </c>
    </row>
    <row r="25" ht="17.25" customHeight="1" spans="1:15">
      <c r="A25" s="67" t="s">
        <v>310</v>
      </c>
      <c r="B25" s="51">
        <v>92</v>
      </c>
      <c r="C25" s="51">
        <v>210</v>
      </c>
      <c r="D25" s="51">
        <f t="shared" si="9"/>
        <v>118</v>
      </c>
      <c r="E25" s="5"/>
      <c r="F25" s="26" t="s">
        <v>78</v>
      </c>
      <c r="G25" s="69">
        <f>SUM(G26:G27)</f>
        <v>1411</v>
      </c>
      <c r="H25" s="69">
        <f>SUM(H26:H27)</f>
        <v>1771</v>
      </c>
      <c r="I25" s="52">
        <f t="shared" si="4"/>
        <v>360</v>
      </c>
      <c r="J25" s="18">
        <f t="shared" si="7"/>
        <v>0.255138199858257</v>
      </c>
      <c r="K25" s="42" t="s">
        <v>346</v>
      </c>
      <c r="L25" s="51">
        <v>138</v>
      </c>
      <c r="M25" s="51"/>
      <c r="N25" s="51">
        <f t="shared" si="8"/>
        <v>-138</v>
      </c>
      <c r="O25" s="5">
        <f t="shared" si="6"/>
        <v>-1</v>
      </c>
    </row>
    <row r="26" ht="17.25" customHeight="1" spans="1:15">
      <c r="A26" s="67" t="s">
        <v>312</v>
      </c>
      <c r="B26" s="51">
        <v>1411</v>
      </c>
      <c r="C26" s="51">
        <v>1739</v>
      </c>
      <c r="D26" s="51">
        <f t="shared" si="9"/>
        <v>328</v>
      </c>
      <c r="E26" s="5">
        <f t="shared" ref="E26:E38" si="10">D26/B26</f>
        <v>0.232459248759745</v>
      </c>
      <c r="F26" s="67" t="s">
        <v>81</v>
      </c>
      <c r="G26" s="22">
        <v>417</v>
      </c>
      <c r="H26" s="22">
        <v>417</v>
      </c>
      <c r="I26" s="51">
        <f t="shared" si="4"/>
        <v>0</v>
      </c>
      <c r="J26" s="5">
        <f t="shared" si="7"/>
        <v>0</v>
      </c>
      <c r="K26" s="42" t="s">
        <v>347</v>
      </c>
      <c r="L26" s="51">
        <v>35392</v>
      </c>
      <c r="M26" s="51">
        <v>82897</v>
      </c>
      <c r="N26" s="51">
        <f t="shared" si="8"/>
        <v>47505</v>
      </c>
      <c r="O26" s="5">
        <f t="shared" si="6"/>
        <v>1.34225248643761</v>
      </c>
    </row>
    <row r="27" ht="17.25" customHeight="1" spans="1:15">
      <c r="A27" s="70" t="s">
        <v>345</v>
      </c>
      <c r="B27" s="51">
        <v>107</v>
      </c>
      <c r="C27" s="51">
        <v>108</v>
      </c>
      <c r="D27" s="51">
        <f t="shared" si="9"/>
        <v>1</v>
      </c>
      <c r="E27" s="5">
        <f t="shared" si="10"/>
        <v>0.00934579439252336</v>
      </c>
      <c r="F27" s="67" t="s">
        <v>84</v>
      </c>
      <c r="G27" s="22">
        <v>994</v>
      </c>
      <c r="H27" s="22">
        <v>1354</v>
      </c>
      <c r="I27" s="51">
        <f t="shared" si="4"/>
        <v>360</v>
      </c>
      <c r="J27" s="5">
        <f t="shared" si="7"/>
        <v>0.362173038229376</v>
      </c>
      <c r="K27" s="42" t="s">
        <v>348</v>
      </c>
      <c r="L27" s="51">
        <v>924</v>
      </c>
      <c r="M27" s="51">
        <v>918</v>
      </c>
      <c r="N27" s="51">
        <f t="shared" si="8"/>
        <v>-6</v>
      </c>
      <c r="O27" s="5">
        <f t="shared" si="6"/>
        <v>-0.00649350649350649</v>
      </c>
    </row>
    <row r="28" ht="17.25" customHeight="1" spans="1:15">
      <c r="A28" s="67" t="s">
        <v>77</v>
      </c>
      <c r="B28" s="51">
        <v>9791</v>
      </c>
      <c r="C28" s="51">
        <v>14734</v>
      </c>
      <c r="D28" s="51">
        <f t="shared" si="9"/>
        <v>4943</v>
      </c>
      <c r="E28" s="5">
        <f t="shared" si="10"/>
        <v>0.504851394137473</v>
      </c>
      <c r="F28" s="26" t="s">
        <v>400</v>
      </c>
      <c r="G28" s="19"/>
      <c r="H28" s="19">
        <v>3450</v>
      </c>
      <c r="I28" s="52">
        <f t="shared" si="4"/>
        <v>3450</v>
      </c>
      <c r="J28" s="18"/>
      <c r="K28" s="42" t="s">
        <v>401</v>
      </c>
      <c r="L28" s="51">
        <v>1549</v>
      </c>
      <c r="M28" s="51">
        <v>3711</v>
      </c>
      <c r="N28" s="51">
        <f t="shared" si="8"/>
        <v>2162</v>
      </c>
      <c r="O28" s="5">
        <f t="shared" si="6"/>
        <v>1.39573918657198</v>
      </c>
    </row>
    <row r="29" ht="17.25" customHeight="1" spans="1:15">
      <c r="A29" s="67" t="s">
        <v>80</v>
      </c>
      <c r="B29" s="51">
        <v>1196</v>
      </c>
      <c r="C29" s="51">
        <v>4775</v>
      </c>
      <c r="D29" s="51">
        <f t="shared" si="9"/>
        <v>3579</v>
      </c>
      <c r="E29" s="5">
        <f t="shared" si="10"/>
        <v>2.99247491638796</v>
      </c>
      <c r="F29" s="66" t="s">
        <v>88</v>
      </c>
      <c r="G29" s="19">
        <v>9300</v>
      </c>
      <c r="H29" s="19">
        <v>16711</v>
      </c>
      <c r="I29" s="52">
        <f t="shared" si="4"/>
        <v>7411</v>
      </c>
      <c r="J29" s="18">
        <f t="shared" si="7"/>
        <v>0.796881720430108</v>
      </c>
      <c r="K29" s="42" t="s">
        <v>402</v>
      </c>
      <c r="L29" s="51">
        <v>86</v>
      </c>
      <c r="M29" s="51">
        <v>174</v>
      </c>
      <c r="N29" s="51">
        <f t="shared" si="8"/>
        <v>88</v>
      </c>
      <c r="O29" s="5">
        <f t="shared" si="6"/>
        <v>1.02325581395349</v>
      </c>
    </row>
    <row r="30" ht="17.25" customHeight="1" spans="1:15">
      <c r="A30" s="67" t="s">
        <v>83</v>
      </c>
      <c r="B30" s="51">
        <v>9934</v>
      </c>
      <c r="C30" s="51">
        <v>11256</v>
      </c>
      <c r="D30" s="51">
        <f t="shared" si="9"/>
        <v>1322</v>
      </c>
      <c r="E30" s="5">
        <f t="shared" si="10"/>
        <v>0.133078316891484</v>
      </c>
      <c r="F30" s="67" t="s">
        <v>100</v>
      </c>
      <c r="G30" s="22">
        <v>9300</v>
      </c>
      <c r="H30" s="22">
        <v>16711</v>
      </c>
      <c r="I30" s="51">
        <f t="shared" si="4"/>
        <v>7411</v>
      </c>
      <c r="J30" s="5">
        <f t="shared" si="7"/>
        <v>0.796881720430108</v>
      </c>
      <c r="K30" s="42" t="s">
        <v>351</v>
      </c>
      <c r="L30" s="51">
        <v>1691</v>
      </c>
      <c r="M30" s="51">
        <v>2587</v>
      </c>
      <c r="N30" s="51">
        <f t="shared" si="8"/>
        <v>896</v>
      </c>
      <c r="O30" s="5">
        <f t="shared" si="6"/>
        <v>0.529863985807215</v>
      </c>
    </row>
    <row r="31" ht="17.25" customHeight="1" spans="1:15">
      <c r="A31" s="67" t="s">
        <v>86</v>
      </c>
      <c r="B31" s="51">
        <v>277</v>
      </c>
      <c r="C31" s="51">
        <f>275</f>
        <v>275</v>
      </c>
      <c r="D31" s="51">
        <f t="shared" si="9"/>
        <v>-2</v>
      </c>
      <c r="E31" s="5">
        <f t="shared" si="10"/>
        <v>-0.0072202166064982</v>
      </c>
      <c r="F31" s="66" t="s">
        <v>103</v>
      </c>
      <c r="G31" s="52">
        <f>SUM(G5,G25,G28:G29)</f>
        <v>151975</v>
      </c>
      <c r="H31" s="52">
        <f>SUM(H5,H25,H28:H29)</f>
        <v>198131</v>
      </c>
      <c r="I31" s="52">
        <f t="shared" si="4"/>
        <v>46156</v>
      </c>
      <c r="J31" s="18">
        <f t="shared" si="7"/>
        <v>0.30370784668531</v>
      </c>
      <c r="K31" s="42" t="s">
        <v>352</v>
      </c>
      <c r="L31" s="51">
        <v>723</v>
      </c>
      <c r="M31" s="51">
        <v>1780</v>
      </c>
      <c r="N31" s="51">
        <f t="shared" si="8"/>
        <v>1057</v>
      </c>
      <c r="O31" s="5">
        <f t="shared" si="6"/>
        <v>1.46196403872752</v>
      </c>
    </row>
    <row r="32" ht="17.25" customHeight="1" spans="1:15">
      <c r="A32" s="67" t="s">
        <v>92</v>
      </c>
      <c r="B32" s="51">
        <v>7289</v>
      </c>
      <c r="C32" s="51">
        <v>6723</v>
      </c>
      <c r="D32" s="51">
        <f t="shared" si="9"/>
        <v>-566</v>
      </c>
      <c r="E32" s="5">
        <f t="shared" si="10"/>
        <v>-0.0776512553162299</v>
      </c>
      <c r="F32" s="66"/>
      <c r="G32" s="17"/>
      <c r="H32" s="17"/>
      <c r="I32" s="17"/>
      <c r="J32" s="18"/>
      <c r="K32" s="42" t="s">
        <v>403</v>
      </c>
      <c r="L32" s="51">
        <v>270</v>
      </c>
      <c r="M32" s="51">
        <v>275</v>
      </c>
      <c r="N32" s="51">
        <f t="shared" si="8"/>
        <v>5</v>
      </c>
      <c r="O32" s="5">
        <f t="shared" si="6"/>
        <v>0.0185185185185185</v>
      </c>
    </row>
    <row r="33" ht="17.25" customHeight="1" spans="1:15">
      <c r="A33" s="73" t="s">
        <v>94</v>
      </c>
      <c r="B33" s="52">
        <f>SUM(B34:B36)</f>
        <v>63160</v>
      </c>
      <c r="C33" s="52">
        <f>SUM(C34:C36)</f>
        <v>85348</v>
      </c>
      <c r="D33" s="52">
        <f t="shared" si="9"/>
        <v>22188</v>
      </c>
      <c r="E33" s="18">
        <f t="shared" si="10"/>
        <v>0.351298290056998</v>
      </c>
      <c r="F33" s="66"/>
      <c r="G33" s="17"/>
      <c r="H33" s="17"/>
      <c r="I33" s="17"/>
      <c r="J33" s="18"/>
      <c r="K33" s="42" t="s">
        <v>404</v>
      </c>
      <c r="L33" s="51">
        <v>301</v>
      </c>
      <c r="M33" s="51">
        <v>382</v>
      </c>
      <c r="N33" s="51">
        <f t="shared" si="8"/>
        <v>81</v>
      </c>
      <c r="O33" s="5">
        <f t="shared" si="6"/>
        <v>0.269102990033223</v>
      </c>
    </row>
    <row r="34" ht="17.25" customHeight="1" spans="1:15">
      <c r="A34" s="74" t="s">
        <v>96</v>
      </c>
      <c r="B34" s="51">
        <f>1671+5247+659</f>
        <v>7577</v>
      </c>
      <c r="C34" s="51">
        <v>7655</v>
      </c>
      <c r="D34" s="51">
        <f t="shared" si="9"/>
        <v>78</v>
      </c>
      <c r="E34" s="5">
        <f t="shared" si="10"/>
        <v>0.0102943117328758</v>
      </c>
      <c r="F34" s="30" t="s">
        <v>355</v>
      </c>
      <c r="G34" s="31"/>
      <c r="H34" s="31"/>
      <c r="I34" s="31"/>
      <c r="J34" s="48"/>
      <c r="K34" s="42" t="s">
        <v>405</v>
      </c>
      <c r="L34" s="51">
        <v>40</v>
      </c>
      <c r="M34" s="51">
        <v>55</v>
      </c>
      <c r="N34" s="51">
        <f t="shared" si="8"/>
        <v>15</v>
      </c>
      <c r="O34" s="5">
        <f t="shared" si="6"/>
        <v>0.375</v>
      </c>
    </row>
    <row r="35" ht="17.25" customHeight="1" spans="1:15">
      <c r="A35" s="74" t="s">
        <v>99</v>
      </c>
      <c r="B35" s="51">
        <v>30525</v>
      </c>
      <c r="C35" s="51">
        <v>33160</v>
      </c>
      <c r="D35" s="51">
        <f t="shared" si="9"/>
        <v>2635</v>
      </c>
      <c r="E35" s="5">
        <f t="shared" si="10"/>
        <v>0.0863226863226863</v>
      </c>
      <c r="F35" s="15" t="s">
        <v>6</v>
      </c>
      <c r="G35" s="83" t="s">
        <v>429</v>
      </c>
      <c r="H35" s="15" t="s">
        <v>425</v>
      </c>
      <c r="I35" s="15" t="s">
        <v>9</v>
      </c>
      <c r="J35" s="15" t="s">
        <v>10</v>
      </c>
      <c r="K35" s="42" t="s">
        <v>406</v>
      </c>
      <c r="L35" s="51">
        <v>198</v>
      </c>
      <c r="M35" s="51">
        <v>296</v>
      </c>
      <c r="N35" s="51">
        <f t="shared" si="8"/>
        <v>98</v>
      </c>
      <c r="O35" s="5">
        <f t="shared" si="6"/>
        <v>0.494949494949495</v>
      </c>
    </row>
    <row r="36" ht="17.25" customHeight="1" spans="1:15">
      <c r="A36" s="74" t="s">
        <v>102</v>
      </c>
      <c r="B36" s="51">
        <v>25058</v>
      </c>
      <c r="C36" s="51">
        <v>44533</v>
      </c>
      <c r="D36" s="51">
        <f t="shared" si="9"/>
        <v>19475</v>
      </c>
      <c r="E36" s="5">
        <f t="shared" si="10"/>
        <v>0.777196903184612</v>
      </c>
      <c r="F36" s="66" t="s">
        <v>329</v>
      </c>
      <c r="G36" s="52">
        <f>B5</f>
        <v>81016</v>
      </c>
      <c r="H36" s="52">
        <f>C5</f>
        <v>100500</v>
      </c>
      <c r="I36" s="52">
        <f>H36-G36</f>
        <v>19484</v>
      </c>
      <c r="J36" s="18">
        <f t="shared" ref="J36:J42" si="11">I36/G36</f>
        <v>0.240495704552187</v>
      </c>
      <c r="K36" s="42" t="s">
        <v>408</v>
      </c>
      <c r="L36" s="51">
        <v>46</v>
      </c>
      <c r="M36" s="51">
        <v>63</v>
      </c>
      <c r="N36" s="51">
        <f t="shared" si="8"/>
        <v>17</v>
      </c>
      <c r="O36" s="5">
        <f t="shared" si="6"/>
        <v>0.369565217391304</v>
      </c>
    </row>
    <row r="37" ht="17.25" customHeight="1" spans="1:15">
      <c r="A37" s="76" t="s">
        <v>105</v>
      </c>
      <c r="B37" s="52">
        <v>6799</v>
      </c>
      <c r="C37" s="52">
        <v>9300</v>
      </c>
      <c r="D37" s="52">
        <f t="shared" si="9"/>
        <v>2501</v>
      </c>
      <c r="E37" s="18">
        <f t="shared" si="10"/>
        <v>0.367848212972496</v>
      </c>
      <c r="F37" s="34" t="s">
        <v>359</v>
      </c>
      <c r="G37" s="52">
        <f>SUM(G38:G41)</f>
        <v>48539</v>
      </c>
      <c r="H37" s="52">
        <f>SUM(H38:H41)</f>
        <v>55055</v>
      </c>
      <c r="I37" s="75">
        <f>SUM(I38:I41)</f>
        <v>6515.5</v>
      </c>
      <c r="J37" s="18">
        <f t="shared" si="11"/>
        <v>0.134232266836976</v>
      </c>
      <c r="K37" s="82" t="s">
        <v>431</v>
      </c>
      <c r="L37" s="51">
        <v>689</v>
      </c>
      <c r="M37" s="51">
        <v>50</v>
      </c>
      <c r="N37" s="51">
        <f t="shared" si="8"/>
        <v>-639</v>
      </c>
      <c r="O37" s="5">
        <f t="shared" si="6"/>
        <v>-0.927431059506531</v>
      </c>
    </row>
    <row r="38" ht="17.25" customHeight="1" spans="1:15">
      <c r="A38" s="76" t="s">
        <v>407</v>
      </c>
      <c r="B38" s="52">
        <v>1000</v>
      </c>
      <c r="C38" s="52">
        <v>1133</v>
      </c>
      <c r="D38" s="52">
        <f t="shared" si="9"/>
        <v>133</v>
      </c>
      <c r="E38" s="18">
        <f t="shared" si="10"/>
        <v>0.133</v>
      </c>
      <c r="F38" s="35" t="s">
        <v>361</v>
      </c>
      <c r="G38" s="51">
        <f>B8*3</f>
        <v>30639</v>
      </c>
      <c r="H38" s="51">
        <f>C8*3</f>
        <v>35388</v>
      </c>
      <c r="I38" s="51">
        <f>H38-G38</f>
        <v>4749</v>
      </c>
      <c r="J38" s="5">
        <f t="shared" si="11"/>
        <v>0.154998531283658</v>
      </c>
      <c r="K38" s="42" t="s">
        <v>410</v>
      </c>
      <c r="L38" s="51">
        <v>647</v>
      </c>
      <c r="M38" s="51">
        <v>966</v>
      </c>
      <c r="N38" s="51">
        <f t="shared" si="8"/>
        <v>319</v>
      </c>
      <c r="O38" s="5">
        <f t="shared" si="6"/>
        <v>0.493044822256569</v>
      </c>
    </row>
    <row r="39" ht="17.25" customHeight="1" spans="1:15">
      <c r="A39" s="76" t="s">
        <v>192</v>
      </c>
      <c r="B39" s="52"/>
      <c r="C39" s="52">
        <v>1850</v>
      </c>
      <c r="D39" s="52"/>
      <c r="E39" s="18"/>
      <c r="F39" s="35" t="s">
        <v>117</v>
      </c>
      <c r="G39" s="51">
        <f>B11*1.5</f>
        <v>12246</v>
      </c>
      <c r="H39" s="51">
        <f>C11*1.5</f>
        <v>14316</v>
      </c>
      <c r="I39" s="51">
        <f>H39-G39</f>
        <v>2070</v>
      </c>
      <c r="J39" s="5">
        <f t="shared" si="11"/>
        <v>0.169034786869182</v>
      </c>
      <c r="K39" s="42" t="s">
        <v>421</v>
      </c>
      <c r="L39" s="51">
        <v>462</v>
      </c>
      <c r="M39" s="51">
        <v>422</v>
      </c>
      <c r="N39" s="51">
        <f t="shared" si="8"/>
        <v>-40</v>
      </c>
      <c r="O39" s="5">
        <f t="shared" si="6"/>
        <v>-0.0865800865800866</v>
      </c>
    </row>
    <row r="40" ht="17.25" customHeight="1" spans="1:15">
      <c r="A40" s="76"/>
      <c r="B40" s="52"/>
      <c r="C40" s="52"/>
      <c r="D40" s="52"/>
      <c r="E40" s="18"/>
      <c r="F40" s="35" t="s">
        <v>118</v>
      </c>
      <c r="G40" s="51">
        <f>B12*1.5</f>
        <v>5487</v>
      </c>
      <c r="H40" s="51">
        <f>C12*1.5</f>
        <v>5148</v>
      </c>
      <c r="I40" s="51">
        <f>H40-G40-0.5</f>
        <v>-339.5</v>
      </c>
      <c r="J40" s="5">
        <f t="shared" si="11"/>
        <v>-0.0618735192272644</v>
      </c>
      <c r="K40" s="66" t="s">
        <v>412</v>
      </c>
      <c r="L40" s="41">
        <v>153</v>
      </c>
      <c r="M40" s="41">
        <v>528</v>
      </c>
      <c r="N40" s="41">
        <f t="shared" si="8"/>
        <v>375</v>
      </c>
      <c r="O40" s="18">
        <f t="shared" si="6"/>
        <v>2.45098039215686</v>
      </c>
    </row>
    <row r="41" ht="17.25" customHeight="1" spans="1:15">
      <c r="A41" s="67"/>
      <c r="B41" s="51"/>
      <c r="C41" s="51"/>
      <c r="D41" s="51"/>
      <c r="E41" s="18"/>
      <c r="F41" s="35" t="s">
        <v>314</v>
      </c>
      <c r="G41" s="51">
        <v>167</v>
      </c>
      <c r="H41" s="51">
        <v>203</v>
      </c>
      <c r="I41" s="51">
        <f>H41-G41</f>
        <v>36</v>
      </c>
      <c r="J41" s="5">
        <f t="shared" si="11"/>
        <v>0.215568862275449</v>
      </c>
      <c r="K41" s="66" t="s">
        <v>268</v>
      </c>
      <c r="L41" s="52">
        <v>5087</v>
      </c>
      <c r="M41" s="52">
        <v>7137</v>
      </c>
      <c r="N41" s="52">
        <f t="shared" si="8"/>
        <v>2050</v>
      </c>
      <c r="O41" s="18">
        <f t="shared" si="6"/>
        <v>0.402988008649499</v>
      </c>
    </row>
    <row r="42" ht="17.25" customHeight="1" spans="1:15">
      <c r="A42" s="73" t="s">
        <v>124</v>
      </c>
      <c r="B42" s="52">
        <f>SUM(B5,B33,B37:B38)</f>
        <v>151975</v>
      </c>
      <c r="C42" s="52">
        <f>SUM(C5,C33,C37:C39)</f>
        <v>198131</v>
      </c>
      <c r="D42" s="52">
        <f>SUM(D5,D33,D37:D38)</f>
        <v>44306</v>
      </c>
      <c r="E42" s="18">
        <f>D42/B42</f>
        <v>0.291534791906564</v>
      </c>
      <c r="F42" s="36" t="s">
        <v>363</v>
      </c>
      <c r="G42" s="52">
        <f>SUM(G36:G37)</f>
        <v>129555</v>
      </c>
      <c r="H42" s="52">
        <f>SUM(H36:H37)</f>
        <v>155555</v>
      </c>
      <c r="I42" s="75">
        <f>SUM(I36:I37)</f>
        <v>25999.5</v>
      </c>
      <c r="J42" s="18">
        <f t="shared" si="11"/>
        <v>0.200683107560496</v>
      </c>
      <c r="K42" s="66" t="s">
        <v>91</v>
      </c>
      <c r="L42" s="52">
        <f>SUM(L20,L40:L41)</f>
        <v>51587</v>
      </c>
      <c r="M42" s="52">
        <f>SUM(M20,M40:M41)</f>
        <v>104434</v>
      </c>
      <c r="N42" s="52">
        <f>SUM(N20,N40:N41)</f>
        <v>52847</v>
      </c>
      <c r="O42" s="18">
        <f t="shared" si="6"/>
        <v>1.02442475817551</v>
      </c>
    </row>
    <row r="43" ht="18" customHeight="1"/>
    <row r="44" ht="18" customHeight="1" spans="1:7">
      <c r="A44" s="78"/>
      <c r="G44" s="79"/>
    </row>
    <row r="45" ht="21" customHeight="1"/>
    <row r="46" ht="15.95" customHeight="1"/>
    <row r="47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view="pageBreakPreview" zoomScale="60" zoomScaleNormal="100" workbookViewId="0">
      <selection activeCell="A1" sqref="A1:O1"/>
    </sheetView>
  </sheetViews>
  <sheetFormatPr defaultColWidth="9" defaultRowHeight="12.75"/>
  <cols>
    <col min="1" max="1" width="25.875" style="62" customWidth="1"/>
    <col min="2" max="2" width="9.25" style="62" customWidth="1"/>
    <col min="3" max="3" width="9.125" style="62" customWidth="1"/>
    <col min="4" max="4" width="11.125" style="62" customWidth="1"/>
    <col min="5" max="5" width="9.25" style="62" customWidth="1"/>
    <col min="6" max="6" width="28.625" style="62" customWidth="1"/>
    <col min="7" max="8" width="9.5" style="62" customWidth="1"/>
    <col min="9" max="9" width="8.75" style="62" customWidth="1"/>
    <col min="10" max="10" width="9.375" style="62" customWidth="1"/>
    <col min="11" max="11" width="36" style="62" customWidth="1"/>
    <col min="12" max="12" width="9.125" style="62" customWidth="1"/>
    <col min="13" max="13" width="8.75" style="62" customWidth="1"/>
    <col min="14" max="14" width="11.125" style="62" customWidth="1"/>
    <col min="15" max="15" width="9.125" style="63" customWidth="1"/>
    <col min="16" max="16" width="9" style="62"/>
    <col min="17" max="17" width="14.375" style="62" customWidth="1"/>
    <col min="18" max="16384" width="9" style="62"/>
  </cols>
  <sheetData>
    <row r="1" ht="33.75" spans="1:15">
      <c r="A1" s="64" t="s">
        <v>432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65" t="s">
        <v>1</v>
      </c>
      <c r="B2" s="65"/>
      <c r="N2" s="65" t="s">
        <v>128</v>
      </c>
      <c r="O2" s="39"/>
    </row>
    <row r="3" ht="18.75" customHeight="1" spans="1:15">
      <c r="A3" s="9" t="s">
        <v>325</v>
      </c>
      <c r="B3" s="10"/>
      <c r="C3" s="10"/>
      <c r="D3" s="10"/>
      <c r="E3" s="11"/>
      <c r="F3" s="12" t="s">
        <v>326</v>
      </c>
      <c r="G3" s="13"/>
      <c r="H3" s="13"/>
      <c r="I3" s="13"/>
      <c r="J3" s="40"/>
      <c r="K3" s="49" t="s">
        <v>292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66" t="s">
        <v>329</v>
      </c>
      <c r="B5" s="52">
        <f>SUM(B6,B22)</f>
        <v>94300</v>
      </c>
      <c r="C5" s="52">
        <f>SUM(C6,C22)</f>
        <v>100000</v>
      </c>
      <c r="D5" s="52">
        <f>SUM(D6,D22)</f>
        <v>100500</v>
      </c>
      <c r="E5" s="18">
        <f t="shared" ref="E5:E32" si="0">D5/C5</f>
        <v>1.005</v>
      </c>
      <c r="F5" s="66" t="s">
        <v>330</v>
      </c>
      <c r="G5" s="19">
        <f>SUM(G6:G24)</f>
        <v>112765</v>
      </c>
      <c r="H5" s="19">
        <f>SUM(H6:H24)</f>
        <v>192759</v>
      </c>
      <c r="I5" s="19">
        <f>SUM(I6:I24)</f>
        <v>176199</v>
      </c>
      <c r="J5" s="18">
        <f t="shared" ref="J5:J24" si="1">I5/H5</f>
        <v>0.914089614492709</v>
      </c>
      <c r="K5" s="16" t="s">
        <v>133</v>
      </c>
      <c r="L5" s="19">
        <f>SUM(L6:L14)</f>
        <v>32200</v>
      </c>
      <c r="M5" s="19">
        <f>SUM(M6:M14)</f>
        <v>82700</v>
      </c>
      <c r="N5" s="19">
        <f>SUM(N6:N14)</f>
        <v>90417</v>
      </c>
      <c r="O5" s="18">
        <f t="shared" ref="O5:O13" si="2">N5/M5</f>
        <v>1.09331318016929</v>
      </c>
    </row>
    <row r="6" ht="16.5" customHeight="1" spans="1:15">
      <c r="A6" s="66" t="s">
        <v>15</v>
      </c>
      <c r="B6" s="52">
        <f>SUM(B7,B10:B21)</f>
        <v>61100</v>
      </c>
      <c r="C6" s="52">
        <f>SUM(C7,C10:C21)</f>
        <v>61900</v>
      </c>
      <c r="D6" s="52">
        <f>SUM(D7,D10:D21)</f>
        <v>60541</v>
      </c>
      <c r="E6" s="18">
        <f t="shared" si="0"/>
        <v>0.978045234248788</v>
      </c>
      <c r="F6" s="67" t="s">
        <v>228</v>
      </c>
      <c r="G6" s="22">
        <v>21376</v>
      </c>
      <c r="H6" s="22">
        <v>32660</v>
      </c>
      <c r="I6" s="22">
        <v>32378</v>
      </c>
      <c r="J6" s="60">
        <f t="shared" si="1"/>
        <v>0.991365584813227</v>
      </c>
      <c r="K6" s="42" t="s">
        <v>331</v>
      </c>
      <c r="L6" s="22">
        <v>250</v>
      </c>
      <c r="M6" s="22">
        <v>250</v>
      </c>
      <c r="N6" s="51">
        <v>236</v>
      </c>
      <c r="O6" s="18">
        <f t="shared" si="2"/>
        <v>0.944</v>
      </c>
    </row>
    <row r="7" ht="16.5" customHeight="1" spans="1:15">
      <c r="A7" s="67" t="s">
        <v>18</v>
      </c>
      <c r="B7" s="51">
        <v>12830</v>
      </c>
      <c r="C7" s="51">
        <v>11950</v>
      </c>
      <c r="D7" s="51">
        <f>SUM(D8:D9)</f>
        <v>11874</v>
      </c>
      <c r="E7" s="5">
        <f t="shared" si="0"/>
        <v>0.993640167364017</v>
      </c>
      <c r="F7" s="67" t="s">
        <v>229</v>
      </c>
      <c r="G7" s="22">
        <v>273</v>
      </c>
      <c r="H7" s="22">
        <v>362</v>
      </c>
      <c r="I7" s="22">
        <v>292</v>
      </c>
      <c r="J7" s="60">
        <f t="shared" si="1"/>
        <v>0.806629834254144</v>
      </c>
      <c r="K7" s="42" t="s">
        <v>332</v>
      </c>
      <c r="L7" s="22"/>
      <c r="M7" s="22"/>
      <c r="N7" s="51">
        <v>567</v>
      </c>
      <c r="O7" s="5"/>
    </row>
    <row r="8" ht="16.5" customHeight="1" spans="1:15">
      <c r="A8" s="67" t="s">
        <v>297</v>
      </c>
      <c r="B8" s="51">
        <v>12830</v>
      </c>
      <c r="C8" s="51">
        <v>11950</v>
      </c>
      <c r="D8" s="51">
        <f>11874-78</f>
        <v>11796</v>
      </c>
      <c r="E8" s="5">
        <f t="shared" si="0"/>
        <v>0.987112970711297</v>
      </c>
      <c r="F8" s="67" t="s">
        <v>231</v>
      </c>
      <c r="G8" s="22">
        <v>7595</v>
      </c>
      <c r="H8" s="22">
        <v>9681</v>
      </c>
      <c r="I8" s="22">
        <v>8660</v>
      </c>
      <c r="J8" s="60">
        <f t="shared" si="1"/>
        <v>0.894535688461936</v>
      </c>
      <c r="K8" s="42" t="s">
        <v>333</v>
      </c>
      <c r="L8" s="22">
        <v>28900</v>
      </c>
      <c r="M8" s="22">
        <v>76900</v>
      </c>
      <c r="N8" s="51">
        <v>82908</v>
      </c>
      <c r="O8" s="5">
        <f t="shared" si="2"/>
        <v>1.07812743823147</v>
      </c>
    </row>
    <row r="9" ht="16.5" customHeight="1" spans="1:15">
      <c r="A9" s="67" t="s">
        <v>299</v>
      </c>
      <c r="B9" s="51"/>
      <c r="C9" s="51"/>
      <c r="D9" s="51">
        <v>78</v>
      </c>
      <c r="E9" s="5"/>
      <c r="F9" s="67" t="s">
        <v>233</v>
      </c>
      <c r="G9" s="22">
        <v>46335</v>
      </c>
      <c r="H9" s="22">
        <v>51766</v>
      </c>
      <c r="I9" s="22">
        <v>51244</v>
      </c>
      <c r="J9" s="60">
        <f t="shared" si="1"/>
        <v>0.989916161186879</v>
      </c>
      <c r="K9" s="42" t="s">
        <v>334</v>
      </c>
      <c r="L9" s="22">
        <v>600</v>
      </c>
      <c r="M9" s="22">
        <v>600</v>
      </c>
      <c r="N9" s="51">
        <v>653</v>
      </c>
      <c r="O9" s="5">
        <f t="shared" si="2"/>
        <v>1.08833333333333</v>
      </c>
    </row>
    <row r="10" ht="16.5" customHeight="1" spans="1:15">
      <c r="A10" s="67" t="s">
        <v>301</v>
      </c>
      <c r="B10" s="51">
        <v>17010</v>
      </c>
      <c r="C10" s="51">
        <v>21000</v>
      </c>
      <c r="D10" s="51">
        <v>20478</v>
      </c>
      <c r="E10" s="5">
        <f t="shared" si="0"/>
        <v>0.975142857142857</v>
      </c>
      <c r="F10" s="67" t="s">
        <v>235</v>
      </c>
      <c r="G10" s="22">
        <v>1592</v>
      </c>
      <c r="H10" s="22">
        <v>1824</v>
      </c>
      <c r="I10" s="22">
        <v>1753</v>
      </c>
      <c r="J10" s="60">
        <f t="shared" si="1"/>
        <v>0.961074561403509</v>
      </c>
      <c r="K10" s="42" t="s">
        <v>388</v>
      </c>
      <c r="L10" s="22">
        <v>1000</v>
      </c>
      <c r="M10" s="22">
        <v>3000</v>
      </c>
      <c r="N10" s="51">
        <v>3710</v>
      </c>
      <c r="O10" s="5">
        <f t="shared" si="2"/>
        <v>1.23666666666667</v>
      </c>
    </row>
    <row r="11" ht="16.5" customHeight="1" spans="1:15">
      <c r="A11" s="67" t="s">
        <v>30</v>
      </c>
      <c r="B11" s="51">
        <v>9180</v>
      </c>
      <c r="C11" s="51">
        <v>9434</v>
      </c>
      <c r="D11" s="51">
        <v>9544</v>
      </c>
      <c r="E11" s="5">
        <f t="shared" si="0"/>
        <v>1.01165995336019</v>
      </c>
      <c r="F11" s="67" t="s">
        <v>237</v>
      </c>
      <c r="G11" s="22">
        <v>1776</v>
      </c>
      <c r="H11" s="22">
        <v>2807</v>
      </c>
      <c r="I11" s="22">
        <v>2506</v>
      </c>
      <c r="J11" s="60">
        <f t="shared" si="1"/>
        <v>0.892768079800499</v>
      </c>
      <c r="K11" s="42" t="s">
        <v>389</v>
      </c>
      <c r="L11" s="22">
        <v>100</v>
      </c>
      <c r="M11" s="22">
        <v>100</v>
      </c>
      <c r="N11" s="51">
        <v>127</v>
      </c>
      <c r="O11" s="5">
        <f t="shared" si="2"/>
        <v>1.27</v>
      </c>
    </row>
    <row r="12" ht="16.5" customHeight="1" spans="1:15">
      <c r="A12" s="67" t="s">
        <v>33</v>
      </c>
      <c r="B12" s="51">
        <v>3640</v>
      </c>
      <c r="C12" s="51">
        <v>3200</v>
      </c>
      <c r="D12" s="51">
        <v>3432</v>
      </c>
      <c r="E12" s="5">
        <f t="shared" si="0"/>
        <v>1.0725</v>
      </c>
      <c r="F12" s="67" t="s">
        <v>239</v>
      </c>
      <c r="G12" s="22">
        <v>4579</v>
      </c>
      <c r="H12" s="22">
        <v>14640</v>
      </c>
      <c r="I12" s="22">
        <v>14341</v>
      </c>
      <c r="J12" s="60">
        <f t="shared" si="1"/>
        <v>0.97957650273224</v>
      </c>
      <c r="K12" s="42" t="s">
        <v>390</v>
      </c>
      <c r="L12" s="22">
        <v>750</v>
      </c>
      <c r="M12" s="22">
        <v>1200</v>
      </c>
      <c r="N12" s="51">
        <v>1483</v>
      </c>
      <c r="O12" s="18">
        <f t="shared" si="2"/>
        <v>1.23583333333333</v>
      </c>
    </row>
    <row r="13" ht="16.5" customHeight="1" spans="1:15">
      <c r="A13" s="67" t="s">
        <v>36</v>
      </c>
      <c r="B13" s="68">
        <v>2500</v>
      </c>
      <c r="C13" s="68">
        <v>2000</v>
      </c>
      <c r="D13" s="51">
        <v>1952</v>
      </c>
      <c r="E13" s="5">
        <f t="shared" si="0"/>
        <v>0.976</v>
      </c>
      <c r="F13" s="67" t="s">
        <v>273</v>
      </c>
      <c r="G13" s="22">
        <v>8234</v>
      </c>
      <c r="H13" s="22">
        <v>19523</v>
      </c>
      <c r="I13" s="22">
        <v>18663</v>
      </c>
      <c r="J13" s="61">
        <f t="shared" si="1"/>
        <v>0.955949393023613</v>
      </c>
      <c r="K13" s="42" t="s">
        <v>391</v>
      </c>
      <c r="L13" s="22">
        <v>300</v>
      </c>
      <c r="M13" s="22">
        <v>250</v>
      </c>
      <c r="N13" s="51">
        <v>324</v>
      </c>
      <c r="O13" s="18">
        <f t="shared" si="2"/>
        <v>1.296</v>
      </c>
    </row>
    <row r="14" ht="16.5" customHeight="1" spans="1:15">
      <c r="A14" s="67" t="s">
        <v>39</v>
      </c>
      <c r="B14" s="68">
        <v>3500</v>
      </c>
      <c r="C14" s="68">
        <v>3500</v>
      </c>
      <c r="D14" s="51">
        <v>3298</v>
      </c>
      <c r="E14" s="5">
        <f t="shared" si="0"/>
        <v>0.942285714285714</v>
      </c>
      <c r="F14" s="67" t="s">
        <v>241</v>
      </c>
      <c r="G14" s="22">
        <v>464</v>
      </c>
      <c r="H14" s="22">
        <v>6208</v>
      </c>
      <c r="I14" s="22">
        <v>1309</v>
      </c>
      <c r="J14" s="60">
        <f t="shared" si="1"/>
        <v>0.210856958762887</v>
      </c>
      <c r="K14" s="42" t="s">
        <v>392</v>
      </c>
      <c r="L14" s="22">
        <v>300</v>
      </c>
      <c r="M14" s="22">
        <v>400</v>
      </c>
      <c r="N14" s="51">
        <v>409</v>
      </c>
      <c r="O14" s="18"/>
    </row>
    <row r="15" ht="16.5" customHeight="1" spans="1:15">
      <c r="A15" s="67" t="s">
        <v>42</v>
      </c>
      <c r="B15" s="68">
        <v>1800</v>
      </c>
      <c r="C15" s="68">
        <v>1500</v>
      </c>
      <c r="D15" s="51">
        <v>1039</v>
      </c>
      <c r="E15" s="5">
        <f t="shared" si="0"/>
        <v>0.692666666666667</v>
      </c>
      <c r="F15" s="67" t="s">
        <v>274</v>
      </c>
      <c r="G15" s="22">
        <v>1924</v>
      </c>
      <c r="H15" s="22">
        <v>3781</v>
      </c>
      <c r="I15" s="22">
        <v>3642</v>
      </c>
      <c r="J15" s="60">
        <f t="shared" si="1"/>
        <v>0.963237238825707</v>
      </c>
      <c r="K15" s="66" t="s">
        <v>32</v>
      </c>
      <c r="L15" s="22"/>
      <c r="M15" s="22"/>
      <c r="N15" s="19">
        <v>8930</v>
      </c>
      <c r="O15" s="4"/>
    </row>
    <row r="16" ht="16.5" customHeight="1" spans="1:15">
      <c r="A16" s="67" t="s">
        <v>45</v>
      </c>
      <c r="B16" s="68">
        <v>610</v>
      </c>
      <c r="C16" s="68">
        <v>800</v>
      </c>
      <c r="D16" s="51">
        <v>749</v>
      </c>
      <c r="E16" s="5">
        <f t="shared" si="0"/>
        <v>0.93625</v>
      </c>
      <c r="F16" s="67" t="s">
        <v>275</v>
      </c>
      <c r="G16" s="22">
        <v>9048</v>
      </c>
      <c r="H16" s="22">
        <v>29243</v>
      </c>
      <c r="I16" s="22">
        <v>26772</v>
      </c>
      <c r="J16" s="60">
        <f t="shared" si="1"/>
        <v>0.9155011455733</v>
      </c>
      <c r="K16" s="66" t="s">
        <v>35</v>
      </c>
      <c r="L16" s="19"/>
      <c r="M16" s="19"/>
      <c r="N16" s="19">
        <v>5087</v>
      </c>
      <c r="O16" s="45"/>
    </row>
    <row r="17" ht="16.5" customHeight="1" spans="1:15">
      <c r="A17" s="67" t="s">
        <v>47</v>
      </c>
      <c r="B17" s="68">
        <v>2100</v>
      </c>
      <c r="C17" s="68">
        <f>700+16</f>
        <v>716</v>
      </c>
      <c r="D17" s="51">
        <v>572</v>
      </c>
      <c r="E17" s="5">
        <f t="shared" si="0"/>
        <v>0.798882681564246</v>
      </c>
      <c r="F17" s="67" t="s">
        <v>244</v>
      </c>
      <c r="G17" s="22">
        <v>1263</v>
      </c>
      <c r="H17" s="22">
        <v>5532</v>
      </c>
      <c r="I17" s="22">
        <v>4472</v>
      </c>
      <c r="J17" s="60">
        <f t="shared" si="1"/>
        <v>0.808387563268257</v>
      </c>
      <c r="K17" s="46" t="s">
        <v>41</v>
      </c>
      <c r="L17" s="19">
        <f>SUM(L16,L15,L5)</f>
        <v>32200</v>
      </c>
      <c r="M17" s="19">
        <f>SUM(M16,M15,M5)</f>
        <v>82700</v>
      </c>
      <c r="N17" s="19">
        <f>SUM(N16,N15,N5)</f>
        <v>104434</v>
      </c>
      <c r="O17" s="4"/>
    </row>
    <row r="18" ht="16.5" customHeight="1" spans="1:15">
      <c r="A18" s="67" t="s">
        <v>50</v>
      </c>
      <c r="B18" s="68">
        <v>2000</v>
      </c>
      <c r="C18" s="68">
        <v>1500</v>
      </c>
      <c r="D18" s="51">
        <v>1477</v>
      </c>
      <c r="E18" s="5">
        <f t="shared" si="0"/>
        <v>0.984666666666667</v>
      </c>
      <c r="F18" s="67" t="s">
        <v>276</v>
      </c>
      <c r="G18" s="22">
        <v>2924</v>
      </c>
      <c r="H18" s="22">
        <v>2610</v>
      </c>
      <c r="I18" s="22">
        <v>1863</v>
      </c>
      <c r="J18" s="60">
        <f t="shared" si="1"/>
        <v>0.713793103448276</v>
      </c>
      <c r="K18" s="49" t="s">
        <v>306</v>
      </c>
      <c r="L18" s="49"/>
      <c r="M18" s="49"/>
      <c r="N18" s="49"/>
      <c r="O18" s="49"/>
    </row>
    <row r="19" ht="16.5" customHeight="1" spans="1:15">
      <c r="A19" s="67" t="s">
        <v>53</v>
      </c>
      <c r="B19" s="68">
        <v>670</v>
      </c>
      <c r="C19" s="68">
        <v>800</v>
      </c>
      <c r="D19" s="51">
        <v>756</v>
      </c>
      <c r="E19" s="5">
        <f t="shared" si="0"/>
        <v>0.945</v>
      </c>
      <c r="F19" s="67" t="s">
        <v>277</v>
      </c>
      <c r="G19" s="22">
        <v>806</v>
      </c>
      <c r="H19" s="22">
        <v>2840</v>
      </c>
      <c r="I19" s="22">
        <v>2580</v>
      </c>
      <c r="J19" s="60">
        <f t="shared" si="1"/>
        <v>0.908450704225352</v>
      </c>
      <c r="K19" s="15" t="s">
        <v>6</v>
      </c>
      <c r="L19" s="15" t="s">
        <v>129</v>
      </c>
      <c r="M19" s="15" t="s">
        <v>130</v>
      </c>
      <c r="N19" s="15" t="s">
        <v>131</v>
      </c>
      <c r="O19" s="15" t="s">
        <v>132</v>
      </c>
    </row>
    <row r="20" ht="16.5" customHeight="1" spans="1:15">
      <c r="A20" s="67" t="s">
        <v>247</v>
      </c>
      <c r="B20" s="51">
        <v>3260</v>
      </c>
      <c r="C20" s="51">
        <f>3260-500</f>
        <v>2760</v>
      </c>
      <c r="D20" s="51">
        <v>2733</v>
      </c>
      <c r="E20" s="5">
        <f t="shared" si="0"/>
        <v>0.990217391304348</v>
      </c>
      <c r="F20" s="67" t="s">
        <v>395</v>
      </c>
      <c r="G20" s="22"/>
      <c r="H20" s="22"/>
      <c r="I20" s="22"/>
      <c r="J20" s="60"/>
      <c r="K20" s="16" t="s">
        <v>144</v>
      </c>
      <c r="L20" s="52">
        <f>SUM(L21:L39)</f>
        <v>32200</v>
      </c>
      <c r="M20" s="52">
        <f>SUM(M21:M39)</f>
        <v>103906</v>
      </c>
      <c r="N20" s="52">
        <f>SUM(N21:N39)</f>
        <v>96769</v>
      </c>
      <c r="O20" s="18">
        <f t="shared" ref="O20:O39" si="3">N20/M20</f>
        <v>0.931312917444613</v>
      </c>
    </row>
    <row r="21" ht="16.5" customHeight="1" spans="1:15">
      <c r="A21" s="67" t="s">
        <v>250</v>
      </c>
      <c r="B21" s="51">
        <v>2000</v>
      </c>
      <c r="C21" s="51">
        <v>2740</v>
      </c>
      <c r="D21" s="51">
        <v>2637</v>
      </c>
      <c r="E21" s="5">
        <f t="shared" si="0"/>
        <v>0.962408759124088</v>
      </c>
      <c r="F21" s="67" t="s">
        <v>396</v>
      </c>
      <c r="G21" s="22">
        <v>838</v>
      </c>
      <c r="H21" s="22">
        <v>1889</v>
      </c>
      <c r="I21" s="22">
        <v>1291</v>
      </c>
      <c r="J21" s="60">
        <f t="shared" si="1"/>
        <v>0.683430386447856</v>
      </c>
      <c r="K21" s="42" t="s">
        <v>341</v>
      </c>
      <c r="L21" s="22"/>
      <c r="M21" s="22">
        <v>1343</v>
      </c>
      <c r="N21" s="51">
        <v>1191</v>
      </c>
      <c r="O21" s="18">
        <f t="shared" si="3"/>
        <v>0.886820551005212</v>
      </c>
    </row>
    <row r="22" ht="16.5" customHeight="1" spans="1:15">
      <c r="A22" s="66" t="s">
        <v>68</v>
      </c>
      <c r="B22" s="52">
        <f>SUM(B23,B28:B32)</f>
        <v>33200</v>
      </c>
      <c r="C22" s="52">
        <f>SUM(C23,C28:C32)</f>
        <v>38100</v>
      </c>
      <c r="D22" s="52">
        <f>SUM(D23,D28:D32)</f>
        <v>39959</v>
      </c>
      <c r="E22" s="18">
        <f t="shared" si="0"/>
        <v>1.04879265091864</v>
      </c>
      <c r="F22" s="67" t="s">
        <v>63</v>
      </c>
      <c r="G22" s="22">
        <v>250</v>
      </c>
      <c r="H22" s="22">
        <v>3829</v>
      </c>
      <c r="I22" s="22">
        <v>3103</v>
      </c>
      <c r="J22" s="60">
        <f t="shared" si="1"/>
        <v>0.810394358840428</v>
      </c>
      <c r="K22" s="42" t="s">
        <v>342</v>
      </c>
      <c r="L22" s="22"/>
      <c r="M22" s="22">
        <v>63</v>
      </c>
      <c r="N22" s="51">
        <v>63</v>
      </c>
      <c r="O22" s="5">
        <f t="shared" si="3"/>
        <v>1</v>
      </c>
    </row>
    <row r="23" ht="16.5" customHeight="1" spans="1:15">
      <c r="A23" s="66" t="s">
        <v>71</v>
      </c>
      <c r="B23" s="52">
        <f>SUM(B24:B27)</f>
        <v>1970</v>
      </c>
      <c r="C23" s="52">
        <f>SUM(C24:C27)</f>
        <v>2030</v>
      </c>
      <c r="D23" s="52">
        <f>SUM(D24:D27)</f>
        <v>2196</v>
      </c>
      <c r="E23" s="18">
        <f t="shared" si="0"/>
        <v>1.08177339901478</v>
      </c>
      <c r="F23" s="67" t="s">
        <v>397</v>
      </c>
      <c r="G23" s="22">
        <v>1148</v>
      </c>
      <c r="H23" s="22">
        <v>967</v>
      </c>
      <c r="I23" s="22">
        <v>947</v>
      </c>
      <c r="J23" s="60">
        <f t="shared" si="1"/>
        <v>0.979317476732161</v>
      </c>
      <c r="K23" s="42" t="s">
        <v>430</v>
      </c>
      <c r="L23" s="22"/>
      <c r="M23" s="22">
        <v>507</v>
      </c>
      <c r="N23" s="51">
        <v>447</v>
      </c>
      <c r="O23" s="5">
        <f t="shared" si="3"/>
        <v>0.881656804733728</v>
      </c>
    </row>
    <row r="24" ht="16.5" customHeight="1" spans="1:15">
      <c r="A24" s="67" t="s">
        <v>398</v>
      </c>
      <c r="B24" s="51">
        <v>115</v>
      </c>
      <c r="C24" s="51">
        <v>115</v>
      </c>
      <c r="D24" s="51">
        <v>139</v>
      </c>
      <c r="E24" s="5">
        <f t="shared" si="0"/>
        <v>1.20869565217391</v>
      </c>
      <c r="F24" s="67" t="s">
        <v>257</v>
      </c>
      <c r="G24" s="22">
        <f>2340</f>
        <v>2340</v>
      </c>
      <c r="H24" s="22">
        <v>2597</v>
      </c>
      <c r="I24" s="22">
        <v>383</v>
      </c>
      <c r="J24" s="80">
        <f t="shared" si="1"/>
        <v>0.147477859068156</v>
      </c>
      <c r="K24" s="42" t="s">
        <v>344</v>
      </c>
      <c r="L24" s="22">
        <v>250</v>
      </c>
      <c r="M24" s="22">
        <v>526</v>
      </c>
      <c r="N24" s="51">
        <v>492</v>
      </c>
      <c r="O24" s="5">
        <f t="shared" si="3"/>
        <v>0.935361216730038</v>
      </c>
    </row>
    <row r="25" ht="16.5" customHeight="1" spans="1:15">
      <c r="A25" s="67" t="s">
        <v>310</v>
      </c>
      <c r="B25" s="51">
        <v>190</v>
      </c>
      <c r="C25" s="51">
        <v>210</v>
      </c>
      <c r="D25" s="51">
        <v>210</v>
      </c>
      <c r="E25" s="5">
        <f t="shared" si="0"/>
        <v>1</v>
      </c>
      <c r="F25" s="26" t="s">
        <v>78</v>
      </c>
      <c r="G25" s="69">
        <f>SUM(G26:G27)</f>
        <v>717</v>
      </c>
      <c r="H25" s="69">
        <f>SUM(H26:H27)</f>
        <v>717</v>
      </c>
      <c r="I25" s="69">
        <f>SUM(I26:I27)</f>
        <v>1771</v>
      </c>
      <c r="J25" s="5"/>
      <c r="K25" s="42" t="s">
        <v>346</v>
      </c>
      <c r="L25" s="22"/>
      <c r="M25" s="22">
        <v>680</v>
      </c>
      <c r="N25" s="51"/>
      <c r="O25" s="5">
        <f t="shared" si="3"/>
        <v>0</v>
      </c>
    </row>
    <row r="26" ht="16.5" customHeight="1" spans="1:15">
      <c r="A26" s="67" t="s">
        <v>312</v>
      </c>
      <c r="B26" s="51">
        <v>1600</v>
      </c>
      <c r="C26" s="51">
        <v>1600</v>
      </c>
      <c r="D26" s="51">
        <v>1739</v>
      </c>
      <c r="E26" s="5">
        <f t="shared" si="0"/>
        <v>1.086875</v>
      </c>
      <c r="F26" s="67" t="s">
        <v>81</v>
      </c>
      <c r="G26" s="51">
        <v>417</v>
      </c>
      <c r="H26" s="22">
        <v>417</v>
      </c>
      <c r="I26" s="22">
        <v>417</v>
      </c>
      <c r="J26" s="5"/>
      <c r="K26" s="81" t="s">
        <v>418</v>
      </c>
      <c r="L26" s="22">
        <v>28900</v>
      </c>
      <c r="M26" s="22">
        <v>85037</v>
      </c>
      <c r="N26" s="51">
        <v>82897</v>
      </c>
      <c r="O26" s="5">
        <f t="shared" si="3"/>
        <v>0.974834483812928</v>
      </c>
    </row>
    <row r="27" ht="16.5" customHeight="1" spans="1:15">
      <c r="A27" s="70" t="s">
        <v>345</v>
      </c>
      <c r="B27" s="51">
        <v>65</v>
      </c>
      <c r="C27" s="51">
        <v>105</v>
      </c>
      <c r="D27" s="51">
        <v>108</v>
      </c>
      <c r="E27" s="5">
        <f t="shared" si="0"/>
        <v>1.02857142857143</v>
      </c>
      <c r="F27" s="67" t="s">
        <v>84</v>
      </c>
      <c r="G27" s="71">
        <v>300</v>
      </c>
      <c r="H27" s="22">
        <v>300</v>
      </c>
      <c r="I27" s="22">
        <v>1354</v>
      </c>
      <c r="J27" s="5"/>
      <c r="K27" s="42" t="s">
        <v>348</v>
      </c>
      <c r="L27" s="22">
        <v>600</v>
      </c>
      <c r="M27" s="22">
        <v>1011</v>
      </c>
      <c r="N27" s="51">
        <v>918</v>
      </c>
      <c r="O27" s="5">
        <f t="shared" si="3"/>
        <v>0.908011869436202</v>
      </c>
    </row>
    <row r="28" ht="16.5" customHeight="1" spans="1:15">
      <c r="A28" s="67" t="s">
        <v>77</v>
      </c>
      <c r="B28" s="51">
        <v>9000</v>
      </c>
      <c r="C28" s="51">
        <v>15000</v>
      </c>
      <c r="D28" s="51">
        <v>14734</v>
      </c>
      <c r="E28" s="5">
        <f t="shared" si="0"/>
        <v>0.982266666666667</v>
      </c>
      <c r="F28" s="26" t="s">
        <v>400</v>
      </c>
      <c r="G28" s="72">
        <v>1600</v>
      </c>
      <c r="H28" s="22"/>
      <c r="I28" s="19">
        <v>3450</v>
      </c>
      <c r="J28" s="5"/>
      <c r="K28" s="42" t="s">
        <v>401</v>
      </c>
      <c r="L28" s="22">
        <v>1000</v>
      </c>
      <c r="M28" s="22">
        <v>3711</v>
      </c>
      <c r="N28" s="51">
        <v>3711</v>
      </c>
      <c r="O28" s="5">
        <f t="shared" si="3"/>
        <v>1</v>
      </c>
    </row>
    <row r="29" ht="16.5" customHeight="1" spans="1:15">
      <c r="A29" s="67" t="s">
        <v>80</v>
      </c>
      <c r="B29" s="51">
        <v>1300</v>
      </c>
      <c r="C29" s="51">
        <v>2000</v>
      </c>
      <c r="D29" s="51">
        <v>4775</v>
      </c>
      <c r="E29" s="5">
        <f t="shared" si="0"/>
        <v>2.3875</v>
      </c>
      <c r="F29" s="66" t="s">
        <v>433</v>
      </c>
      <c r="G29" s="52"/>
      <c r="H29" s="22"/>
      <c r="I29" s="19">
        <v>16711</v>
      </c>
      <c r="J29" s="5"/>
      <c r="K29" s="42" t="s">
        <v>402</v>
      </c>
      <c r="L29" s="22">
        <v>100</v>
      </c>
      <c r="M29" s="22">
        <v>273</v>
      </c>
      <c r="N29" s="51">
        <v>174</v>
      </c>
      <c r="O29" s="5">
        <f t="shared" si="3"/>
        <v>0.637362637362637</v>
      </c>
    </row>
    <row r="30" ht="16.5" customHeight="1" spans="1:15">
      <c r="A30" s="67" t="s">
        <v>155</v>
      </c>
      <c r="B30" s="51">
        <v>13000</v>
      </c>
      <c r="C30" s="51">
        <v>12200</v>
      </c>
      <c r="D30" s="51">
        <v>11256</v>
      </c>
      <c r="E30" s="5">
        <f t="shared" si="0"/>
        <v>0.922622950819672</v>
      </c>
      <c r="F30" s="67" t="s">
        <v>100</v>
      </c>
      <c r="G30" s="51"/>
      <c r="H30" s="22"/>
      <c r="I30" s="22">
        <v>16711</v>
      </c>
      <c r="J30" s="5"/>
      <c r="K30" s="81" t="s">
        <v>419</v>
      </c>
      <c r="L30" s="22"/>
      <c r="M30" s="22">
        <v>4882</v>
      </c>
      <c r="N30" s="51">
        <v>2587</v>
      </c>
      <c r="O30" s="5">
        <f t="shared" si="3"/>
        <v>0.52990577632118</v>
      </c>
    </row>
    <row r="31" ht="16.5" customHeight="1" spans="1:15">
      <c r="A31" s="67" t="s">
        <v>86</v>
      </c>
      <c r="B31" s="51"/>
      <c r="C31" s="51">
        <v>200</v>
      </c>
      <c r="D31" s="51">
        <f>275</f>
        <v>275</v>
      </c>
      <c r="E31" s="5">
        <f t="shared" si="0"/>
        <v>1.375</v>
      </c>
      <c r="F31" s="66" t="s">
        <v>103</v>
      </c>
      <c r="G31" s="52">
        <f>SUM(G5,G25,G28:G29)</f>
        <v>115082</v>
      </c>
      <c r="H31" s="52">
        <f>SUM(H5,H25,H28:H29)</f>
        <v>193476</v>
      </c>
      <c r="I31" s="52">
        <f>SUM(I5,I25,I28:I29)</f>
        <v>198131</v>
      </c>
      <c r="J31" s="4"/>
      <c r="K31" s="42" t="s">
        <v>352</v>
      </c>
      <c r="L31" s="22">
        <v>750</v>
      </c>
      <c r="M31" s="22">
        <v>2448</v>
      </c>
      <c r="N31" s="51">
        <v>1780</v>
      </c>
      <c r="O31" s="5">
        <f t="shared" si="3"/>
        <v>0.727124183006536</v>
      </c>
    </row>
    <row r="32" ht="16.5" customHeight="1" spans="1:15">
      <c r="A32" s="67" t="s">
        <v>92</v>
      </c>
      <c r="B32" s="51">
        <v>7930</v>
      </c>
      <c r="C32" s="51">
        <v>6670</v>
      </c>
      <c r="D32" s="51">
        <v>6723</v>
      </c>
      <c r="E32" s="5">
        <f t="shared" si="0"/>
        <v>1.00794602698651</v>
      </c>
      <c r="F32" s="66"/>
      <c r="G32" s="17"/>
      <c r="H32" s="17"/>
      <c r="I32" s="17"/>
      <c r="J32" s="4"/>
      <c r="K32" s="42" t="s">
        <v>403</v>
      </c>
      <c r="L32" s="22">
        <v>300</v>
      </c>
      <c r="M32" s="22">
        <v>490</v>
      </c>
      <c r="N32" s="51">
        <v>275</v>
      </c>
      <c r="O32" s="5">
        <f t="shared" si="3"/>
        <v>0.561224489795918</v>
      </c>
    </row>
    <row r="33" ht="16.5" customHeight="1" spans="1:15">
      <c r="A33" s="73" t="s">
        <v>94</v>
      </c>
      <c r="B33" s="52">
        <f>SUM(B34:B36)</f>
        <v>20782</v>
      </c>
      <c r="C33" s="52">
        <f>SUM(C34:C36)</f>
        <v>22733</v>
      </c>
      <c r="D33" s="52">
        <f>SUM(D34:D36)</f>
        <v>85348</v>
      </c>
      <c r="E33" s="18"/>
      <c r="F33" s="66"/>
      <c r="G33" s="17"/>
      <c r="H33" s="17"/>
      <c r="I33" s="17"/>
      <c r="J33" s="4"/>
      <c r="K33" s="42" t="s">
        <v>404</v>
      </c>
      <c r="L33" s="22">
        <v>300</v>
      </c>
      <c r="M33" s="22">
        <v>536</v>
      </c>
      <c r="N33" s="51">
        <v>382</v>
      </c>
      <c r="O33" s="5">
        <f t="shared" si="3"/>
        <v>0.712686567164179</v>
      </c>
    </row>
    <row r="34" ht="16.5" customHeight="1" spans="1:15">
      <c r="A34" s="74" t="s">
        <v>96</v>
      </c>
      <c r="B34" s="51">
        <f>1671+5247</f>
        <v>6918</v>
      </c>
      <c r="C34" s="51">
        <f>1671+5247</f>
        <v>6918</v>
      </c>
      <c r="D34" s="51">
        <v>7655</v>
      </c>
      <c r="E34" s="5"/>
      <c r="F34" s="30" t="s">
        <v>355</v>
      </c>
      <c r="G34" s="31"/>
      <c r="H34" s="31"/>
      <c r="I34" s="31"/>
      <c r="J34" s="48"/>
      <c r="K34" s="42" t="s">
        <v>405</v>
      </c>
      <c r="L34" s="22" t="s">
        <v>379</v>
      </c>
      <c r="M34" s="22">
        <v>80</v>
      </c>
      <c r="N34" s="51">
        <v>55</v>
      </c>
      <c r="O34" s="5">
        <f t="shared" si="3"/>
        <v>0.6875</v>
      </c>
    </row>
    <row r="35" ht="16.5" customHeight="1" spans="1:15">
      <c r="A35" s="74" t="s">
        <v>99</v>
      </c>
      <c r="B35" s="51">
        <v>13864</v>
      </c>
      <c r="C35" s="51">
        <v>15815</v>
      </c>
      <c r="D35" s="51">
        <v>33160</v>
      </c>
      <c r="E35" s="5"/>
      <c r="F35" s="15" t="s">
        <v>6</v>
      </c>
      <c r="G35" s="4" t="s">
        <v>129</v>
      </c>
      <c r="H35" s="4" t="s">
        <v>130</v>
      </c>
      <c r="I35" s="4" t="s">
        <v>131</v>
      </c>
      <c r="J35" s="4" t="s">
        <v>132</v>
      </c>
      <c r="K35" s="42" t="s">
        <v>406</v>
      </c>
      <c r="L35" s="22"/>
      <c r="M35" s="22">
        <v>471</v>
      </c>
      <c r="N35" s="51">
        <v>296</v>
      </c>
      <c r="O35" s="5">
        <f t="shared" si="3"/>
        <v>0.628450106157112</v>
      </c>
    </row>
    <row r="36" ht="16.5" customHeight="1" spans="1:15">
      <c r="A36" s="74" t="s">
        <v>102</v>
      </c>
      <c r="B36" s="51"/>
      <c r="C36" s="51"/>
      <c r="D36" s="51">
        <v>44533</v>
      </c>
      <c r="E36" s="5"/>
      <c r="F36" s="66" t="s">
        <v>383</v>
      </c>
      <c r="G36" s="75">
        <f>B5</f>
        <v>94300</v>
      </c>
      <c r="H36" s="75">
        <f>C5</f>
        <v>100000</v>
      </c>
      <c r="I36" s="75">
        <f>D5</f>
        <v>100500</v>
      </c>
      <c r="J36" s="18">
        <f t="shared" ref="J36:J42" si="4">I36/H36</f>
        <v>1.005</v>
      </c>
      <c r="K36" s="42" t="s">
        <v>408</v>
      </c>
      <c r="L36" s="22"/>
      <c r="M36" s="22">
        <v>63</v>
      </c>
      <c r="N36" s="51">
        <v>63</v>
      </c>
      <c r="O36" s="5">
        <f t="shared" si="3"/>
        <v>1</v>
      </c>
    </row>
    <row r="37" ht="16.5" customHeight="1" spans="1:15">
      <c r="A37" s="76" t="s">
        <v>105</v>
      </c>
      <c r="B37" s="72"/>
      <c r="C37" s="52">
        <v>2178</v>
      </c>
      <c r="D37" s="52">
        <v>9300</v>
      </c>
      <c r="E37" s="45"/>
      <c r="F37" s="34" t="s">
        <v>359</v>
      </c>
      <c r="G37" s="75">
        <f>SUM(G38:G41)</f>
        <v>57900</v>
      </c>
      <c r="H37" s="75">
        <f>SUM(H38:H41)</f>
        <v>55000</v>
      </c>
      <c r="I37" s="75">
        <f>SUM(I38:I41)</f>
        <v>55055</v>
      </c>
      <c r="J37" s="18">
        <f t="shared" si="4"/>
        <v>1.001</v>
      </c>
      <c r="K37" s="82" t="s">
        <v>431</v>
      </c>
      <c r="L37" s="22"/>
      <c r="M37" s="22">
        <v>50</v>
      </c>
      <c r="N37" s="51">
        <v>50</v>
      </c>
      <c r="O37" s="5">
        <f t="shared" si="3"/>
        <v>1</v>
      </c>
    </row>
    <row r="38" ht="16.5" customHeight="1" spans="1:15">
      <c r="A38" s="76" t="s">
        <v>407</v>
      </c>
      <c r="B38" s="77"/>
      <c r="C38" s="52">
        <v>1133</v>
      </c>
      <c r="D38" s="52">
        <v>1133</v>
      </c>
      <c r="E38" s="67"/>
      <c r="F38" s="35" t="s">
        <v>361</v>
      </c>
      <c r="G38" s="51">
        <f>B7*3</f>
        <v>38490</v>
      </c>
      <c r="H38" s="51">
        <f>C7*3</f>
        <v>35850</v>
      </c>
      <c r="I38" s="51">
        <f>D8*3</f>
        <v>35388</v>
      </c>
      <c r="J38" s="5">
        <f t="shared" si="4"/>
        <v>0.987112970711297</v>
      </c>
      <c r="K38" s="42" t="s">
        <v>410</v>
      </c>
      <c r="L38" s="22"/>
      <c r="M38" s="22">
        <v>1313</v>
      </c>
      <c r="N38" s="51">
        <v>966</v>
      </c>
      <c r="O38" s="5">
        <f t="shared" si="3"/>
        <v>0.735719725818736</v>
      </c>
    </row>
    <row r="39" ht="16.5" customHeight="1" spans="1:15">
      <c r="A39" s="76" t="s">
        <v>192</v>
      </c>
      <c r="B39" s="51"/>
      <c r="C39" s="51"/>
      <c r="D39" s="52">
        <v>1850</v>
      </c>
      <c r="E39" s="5"/>
      <c r="F39" s="35" t="s">
        <v>117</v>
      </c>
      <c r="G39" s="51">
        <f t="shared" ref="G39:I40" si="5">B11*1.5</f>
        <v>13770</v>
      </c>
      <c r="H39" s="51">
        <v>14150</v>
      </c>
      <c r="I39" s="51">
        <f t="shared" si="5"/>
        <v>14316</v>
      </c>
      <c r="J39" s="5">
        <f t="shared" si="4"/>
        <v>1.01173144876325</v>
      </c>
      <c r="K39" s="42" t="s">
        <v>421</v>
      </c>
      <c r="L39" s="22"/>
      <c r="M39" s="22">
        <v>422</v>
      </c>
      <c r="N39" s="51">
        <v>422</v>
      </c>
      <c r="O39" s="5">
        <f t="shared" si="3"/>
        <v>1</v>
      </c>
    </row>
    <row r="40" ht="16.5" customHeight="1" spans="1:15">
      <c r="A40" s="76"/>
      <c r="B40" s="51"/>
      <c r="C40" s="51"/>
      <c r="D40" s="52"/>
      <c r="E40" s="5"/>
      <c r="F40" s="35" t="s">
        <v>118</v>
      </c>
      <c r="G40" s="51">
        <f t="shared" si="5"/>
        <v>5460</v>
      </c>
      <c r="H40" s="51">
        <f t="shared" si="5"/>
        <v>4800</v>
      </c>
      <c r="I40" s="51">
        <f t="shared" si="5"/>
        <v>5148</v>
      </c>
      <c r="J40" s="5">
        <f t="shared" si="4"/>
        <v>1.0725</v>
      </c>
      <c r="K40" s="16" t="s">
        <v>412</v>
      </c>
      <c r="L40" s="22"/>
      <c r="M40" s="22"/>
      <c r="N40" s="41">
        <v>528</v>
      </c>
      <c r="O40" s="5"/>
    </row>
    <row r="41" ht="16.5" customHeight="1" spans="1:15">
      <c r="A41" s="76"/>
      <c r="B41" s="51"/>
      <c r="C41" s="51"/>
      <c r="D41" s="52"/>
      <c r="E41" s="5"/>
      <c r="F41" s="35" t="s">
        <v>314</v>
      </c>
      <c r="G41" s="51">
        <v>180</v>
      </c>
      <c r="H41" s="51">
        <v>200</v>
      </c>
      <c r="I41" s="51">
        <v>203</v>
      </c>
      <c r="J41" s="5">
        <f t="shared" si="4"/>
        <v>1.015</v>
      </c>
      <c r="K41" s="66" t="s">
        <v>268</v>
      </c>
      <c r="L41" s="22"/>
      <c r="M41" s="22"/>
      <c r="N41" s="52">
        <v>7137</v>
      </c>
      <c r="O41" s="4"/>
    </row>
    <row r="42" ht="16.5" customHeight="1" spans="1:15">
      <c r="A42" s="73" t="s">
        <v>124</v>
      </c>
      <c r="B42" s="52">
        <f>SUM(B5,B33,B37:B38)</f>
        <v>115082</v>
      </c>
      <c r="C42" s="52"/>
      <c r="D42" s="52">
        <f>SUM(D5,D33,D37:D39)</f>
        <v>198131</v>
      </c>
      <c r="E42" s="5"/>
      <c r="F42" s="36" t="s">
        <v>363</v>
      </c>
      <c r="G42" s="75">
        <f>SUM(G36:G37)</f>
        <v>152200</v>
      </c>
      <c r="H42" s="75">
        <f>SUM(H36:H37)</f>
        <v>155000</v>
      </c>
      <c r="I42" s="75">
        <f>SUM(I36:I37)</f>
        <v>155555</v>
      </c>
      <c r="J42" s="18">
        <f t="shared" si="4"/>
        <v>1.00358064516129</v>
      </c>
      <c r="K42" s="66" t="s">
        <v>91</v>
      </c>
      <c r="L42" s="19">
        <f>SUM(L20,L41:L41)</f>
        <v>32200</v>
      </c>
      <c r="M42" s="22"/>
      <c r="N42" s="19">
        <f>SUM(N20,N40:N41)</f>
        <v>104434</v>
      </c>
      <c r="O42" s="4"/>
    </row>
    <row r="43" ht="17.25" customHeight="1" spans="2:2">
      <c r="B43" s="54"/>
    </row>
    <row r="44" ht="19.5" customHeight="1" spans="1:8">
      <c r="A44" s="78"/>
      <c r="B44" s="78"/>
      <c r="H44" s="79"/>
    </row>
    <row r="45" ht="19.5" customHeight="1"/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55" right="0.15625" top="0.786805555555556" bottom="0.590277777777778" header="0.511805555555556" footer="0.511805555555556"/>
  <pageSetup paperSize="9" scale="62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7" workbookViewId="0">
      <selection activeCell="I41" sqref="I41"/>
    </sheetView>
  </sheetViews>
  <sheetFormatPr defaultColWidth="9" defaultRowHeight="14.25"/>
  <cols>
    <col min="1" max="1" width="25.875" customWidth="1"/>
    <col min="2" max="2" width="10.625" customWidth="1"/>
    <col min="3" max="3" width="10.875" customWidth="1"/>
    <col min="4" max="4" width="8.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25" customWidth="1"/>
    <col min="11" max="11" width="37.75" customWidth="1"/>
    <col min="12" max="12" width="10.5" customWidth="1"/>
    <col min="13" max="13" width="10.875" customWidth="1"/>
    <col min="14" max="14" width="8.875" customWidth="1"/>
    <col min="15" max="15" width="10.375" style="6" customWidth="1"/>
    <col min="17" max="17" width="14.375" customWidth="1"/>
  </cols>
  <sheetData>
    <row r="1" ht="33.75" spans="1:15">
      <c r="A1" s="7" t="s">
        <v>434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435</v>
      </c>
      <c r="N2" s="8"/>
      <c r="O2" s="39"/>
    </row>
    <row r="3" ht="18" customHeight="1" spans="1:15">
      <c r="A3" s="9" t="s">
        <v>436</v>
      </c>
      <c r="B3" s="10"/>
      <c r="C3" s="10"/>
      <c r="D3" s="10"/>
      <c r="E3" s="11"/>
      <c r="F3" s="12" t="s">
        <v>437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438</v>
      </c>
      <c r="C4" s="15" t="s">
        <v>439</v>
      </c>
      <c r="D4" s="15" t="s">
        <v>9</v>
      </c>
      <c r="E4" s="15" t="s">
        <v>10</v>
      </c>
      <c r="F4" s="15" t="s">
        <v>6</v>
      </c>
      <c r="G4" s="15" t="s">
        <v>438</v>
      </c>
      <c r="H4" s="15" t="s">
        <v>439</v>
      </c>
      <c r="I4" s="15" t="s">
        <v>11</v>
      </c>
      <c r="J4" s="15" t="s">
        <v>10</v>
      </c>
      <c r="K4" s="15" t="s">
        <v>6</v>
      </c>
      <c r="L4" s="15" t="s">
        <v>438</v>
      </c>
      <c r="M4" s="15" t="s">
        <v>439</v>
      </c>
      <c r="N4" s="15" t="s">
        <v>9</v>
      </c>
      <c r="O4" s="15" t="s">
        <v>10</v>
      </c>
    </row>
    <row r="5" ht="18" customHeight="1" spans="1:15">
      <c r="A5" s="16" t="s">
        <v>383</v>
      </c>
      <c r="B5" s="17">
        <f>SUM(B6,B20)</f>
        <v>65541</v>
      </c>
      <c r="C5" s="17">
        <f>SUM(C6,C20)</f>
        <v>81016</v>
      </c>
      <c r="D5" s="17">
        <f t="shared" ref="D5:D19" si="0">C5-B5</f>
        <v>15475</v>
      </c>
      <c r="E5" s="18">
        <f t="shared" ref="E5:E33" si="1">D5/B5</f>
        <v>0.236111746845486</v>
      </c>
      <c r="F5" s="16" t="s">
        <v>440</v>
      </c>
      <c r="G5" s="20">
        <f>SUM(G6,G11:G28)</f>
        <v>121646</v>
      </c>
      <c r="H5" s="20">
        <f>SUM(H6,H11:H28)</f>
        <v>141264</v>
      </c>
      <c r="I5" s="17">
        <f t="shared" ref="I5:I34" si="2">H5-G5</f>
        <v>19618</v>
      </c>
      <c r="J5" s="18">
        <f t="shared" ref="J5:J34" si="3">I5/G5</f>
        <v>0.161271229633527</v>
      </c>
      <c r="K5" s="16" t="s">
        <v>14</v>
      </c>
      <c r="L5" s="41">
        <f>SUM(L6:L13)</f>
        <v>45370</v>
      </c>
      <c r="M5" s="41">
        <f>SUM(M6:M13)</f>
        <v>39684</v>
      </c>
      <c r="N5" s="41">
        <f>SUM(N6:N13)</f>
        <v>-6084</v>
      </c>
      <c r="O5" s="18">
        <f t="shared" ref="O5:O13" si="4">N5/L5</f>
        <v>-0.134097421203438</v>
      </c>
    </row>
    <row r="6" ht="18" customHeight="1" spans="1:15">
      <c r="A6" s="21" t="s">
        <v>15</v>
      </c>
      <c r="B6" s="17">
        <f>SUM(B7:B19)</f>
        <v>42510</v>
      </c>
      <c r="C6" s="17">
        <f>SUM(C7:C19)</f>
        <v>50788</v>
      </c>
      <c r="D6" s="17">
        <f t="shared" si="0"/>
        <v>8278</v>
      </c>
      <c r="E6" s="18">
        <f t="shared" si="1"/>
        <v>0.194730651611386</v>
      </c>
      <c r="F6" s="1" t="s">
        <v>228</v>
      </c>
      <c r="G6" s="23">
        <v>19159</v>
      </c>
      <c r="H6" s="23">
        <v>24907</v>
      </c>
      <c r="I6" s="24">
        <f t="shared" si="2"/>
        <v>5748</v>
      </c>
      <c r="J6" s="5">
        <f t="shared" si="3"/>
        <v>0.300015658437288</v>
      </c>
      <c r="K6" s="42" t="s">
        <v>331</v>
      </c>
      <c r="L6" s="43">
        <v>101</v>
      </c>
      <c r="M6" s="43">
        <v>106</v>
      </c>
      <c r="N6" s="43">
        <f t="shared" ref="N6:N17" si="5">M6-L6</f>
        <v>5</v>
      </c>
      <c r="O6" s="5">
        <f t="shared" si="4"/>
        <v>0.0495049504950495</v>
      </c>
    </row>
    <row r="7" ht="18" customHeight="1" spans="1:15">
      <c r="A7" s="1" t="s">
        <v>441</v>
      </c>
      <c r="B7" s="24">
        <v>7850</v>
      </c>
      <c r="C7" s="24">
        <v>10213</v>
      </c>
      <c r="D7" s="24">
        <f t="shared" si="0"/>
        <v>2363</v>
      </c>
      <c r="E7" s="5">
        <f t="shared" si="1"/>
        <v>0.301019108280255</v>
      </c>
      <c r="F7" s="1" t="s">
        <v>442</v>
      </c>
      <c r="G7" s="23">
        <v>4376</v>
      </c>
      <c r="H7" s="23">
        <v>5483</v>
      </c>
      <c r="I7" s="24">
        <f t="shared" si="2"/>
        <v>1107</v>
      </c>
      <c r="J7" s="5">
        <f t="shared" si="3"/>
        <v>0.252970749542962</v>
      </c>
      <c r="K7" s="42" t="s">
        <v>296</v>
      </c>
      <c r="L7" s="43">
        <v>42103</v>
      </c>
      <c r="M7" s="43">
        <f>36008</f>
        <v>36008</v>
      </c>
      <c r="N7" s="43">
        <f t="shared" si="5"/>
        <v>-6095</v>
      </c>
      <c r="O7" s="5">
        <f t="shared" si="4"/>
        <v>-0.14476403106667</v>
      </c>
    </row>
    <row r="8" ht="18" customHeight="1" spans="1:15">
      <c r="A8" s="1" t="s">
        <v>301</v>
      </c>
      <c r="B8" s="24">
        <v>16351</v>
      </c>
      <c r="C8" s="24">
        <v>15005</v>
      </c>
      <c r="D8" s="24">
        <f t="shared" si="0"/>
        <v>-1346</v>
      </c>
      <c r="E8" s="5">
        <f t="shared" si="1"/>
        <v>-0.0823191242125864</v>
      </c>
      <c r="F8" s="1" t="s">
        <v>443</v>
      </c>
      <c r="G8" s="23">
        <v>2333</v>
      </c>
      <c r="H8" s="23">
        <v>2699</v>
      </c>
      <c r="I8" s="24">
        <f t="shared" si="2"/>
        <v>366</v>
      </c>
      <c r="J8" s="5">
        <f t="shared" si="3"/>
        <v>0.156879554222032</v>
      </c>
      <c r="K8" s="42" t="s">
        <v>444</v>
      </c>
      <c r="L8" s="43">
        <v>844</v>
      </c>
      <c r="M8" s="43">
        <v>657</v>
      </c>
      <c r="N8" s="43">
        <f t="shared" si="5"/>
        <v>-187</v>
      </c>
      <c r="O8" s="5">
        <f t="shared" si="4"/>
        <v>-0.221563981042654</v>
      </c>
    </row>
    <row r="9" ht="18" customHeight="1" spans="1:15">
      <c r="A9" s="1" t="s">
        <v>30</v>
      </c>
      <c r="B9" s="24">
        <v>4185</v>
      </c>
      <c r="C9" s="24">
        <v>8164</v>
      </c>
      <c r="D9" s="24">
        <f t="shared" si="0"/>
        <v>3979</v>
      </c>
      <c r="E9" s="5">
        <f t="shared" si="1"/>
        <v>0.950776583034648</v>
      </c>
      <c r="F9" s="1" t="s">
        <v>445</v>
      </c>
      <c r="G9" s="23">
        <v>72</v>
      </c>
      <c r="H9" s="23">
        <v>73</v>
      </c>
      <c r="I9" s="24">
        <f t="shared" si="2"/>
        <v>1</v>
      </c>
      <c r="J9" s="5">
        <f t="shared" si="3"/>
        <v>0.0138888888888889</v>
      </c>
      <c r="K9" s="42" t="s">
        <v>446</v>
      </c>
      <c r="L9" s="43">
        <v>1882</v>
      </c>
      <c r="M9" s="43">
        <f>1496</f>
        <v>1496</v>
      </c>
      <c r="N9" s="43"/>
      <c r="O9" s="5">
        <f t="shared" si="4"/>
        <v>0</v>
      </c>
    </row>
    <row r="10" ht="18" customHeight="1" spans="1:15">
      <c r="A10" s="1" t="s">
        <v>33</v>
      </c>
      <c r="B10" s="24">
        <v>3057</v>
      </c>
      <c r="C10" s="24">
        <v>3658</v>
      </c>
      <c r="D10" s="24">
        <f t="shared" si="0"/>
        <v>601</v>
      </c>
      <c r="E10" s="5">
        <f t="shared" si="1"/>
        <v>0.196597971867844</v>
      </c>
      <c r="F10" s="1" t="s">
        <v>447</v>
      </c>
      <c r="G10" s="23">
        <v>419</v>
      </c>
      <c r="H10" s="23">
        <v>473</v>
      </c>
      <c r="I10" s="24">
        <f t="shared" si="2"/>
        <v>54</v>
      </c>
      <c r="J10" s="5">
        <f t="shared" si="3"/>
        <v>0.128878281622912</v>
      </c>
      <c r="K10" s="42" t="s">
        <v>448</v>
      </c>
      <c r="L10" s="43">
        <v>24</v>
      </c>
      <c r="M10" s="43">
        <v>45</v>
      </c>
      <c r="N10" s="43"/>
      <c r="O10" s="5">
        <f t="shared" si="4"/>
        <v>0</v>
      </c>
    </row>
    <row r="11" ht="18" customHeight="1" spans="1:15">
      <c r="A11" s="1" t="s">
        <v>36</v>
      </c>
      <c r="B11" s="24">
        <v>1732</v>
      </c>
      <c r="C11" s="24">
        <v>1902</v>
      </c>
      <c r="D11" s="24">
        <f t="shared" si="0"/>
        <v>170</v>
      </c>
      <c r="E11" s="5">
        <f t="shared" si="1"/>
        <v>0.0981524249422633</v>
      </c>
      <c r="F11" s="1" t="s">
        <v>229</v>
      </c>
      <c r="G11" s="23">
        <v>215</v>
      </c>
      <c r="H11" s="23">
        <v>294</v>
      </c>
      <c r="I11" s="24">
        <f t="shared" si="2"/>
        <v>79</v>
      </c>
      <c r="J11" s="5">
        <f t="shared" si="3"/>
        <v>0.367441860465116</v>
      </c>
      <c r="K11" s="42" t="s">
        <v>449</v>
      </c>
      <c r="L11" s="43"/>
      <c r="M11" s="43">
        <v>763</v>
      </c>
      <c r="N11" s="43"/>
      <c r="O11" s="5"/>
    </row>
    <row r="12" ht="18" customHeight="1" spans="1:15">
      <c r="A12" s="1" t="s">
        <v>39</v>
      </c>
      <c r="B12" s="24">
        <v>1932</v>
      </c>
      <c r="C12" s="24">
        <v>2816</v>
      </c>
      <c r="D12" s="24">
        <f t="shared" si="0"/>
        <v>884</v>
      </c>
      <c r="E12" s="5">
        <f t="shared" si="1"/>
        <v>0.457556935817805</v>
      </c>
      <c r="F12" s="1" t="s">
        <v>231</v>
      </c>
      <c r="G12" s="23">
        <v>7423</v>
      </c>
      <c r="H12" s="23">
        <v>7301</v>
      </c>
      <c r="I12" s="24">
        <f t="shared" si="2"/>
        <v>-122</v>
      </c>
      <c r="J12" s="5">
        <f t="shared" si="3"/>
        <v>-0.0164354034756837</v>
      </c>
      <c r="K12" s="42" t="s">
        <v>450</v>
      </c>
      <c r="L12" s="43">
        <v>364</v>
      </c>
      <c r="M12" s="43">
        <v>282</v>
      </c>
      <c r="N12" s="43">
        <f>M12-L12</f>
        <v>-82</v>
      </c>
      <c r="O12" s="5">
        <f>N12/L12</f>
        <v>-0.225274725274725</v>
      </c>
    </row>
    <row r="13" ht="18" customHeight="1" spans="1:15">
      <c r="A13" s="1" t="s">
        <v>42</v>
      </c>
      <c r="B13" s="24">
        <v>1176</v>
      </c>
      <c r="C13" s="24">
        <v>1447</v>
      </c>
      <c r="D13" s="24">
        <f t="shared" si="0"/>
        <v>271</v>
      </c>
      <c r="E13" s="5">
        <f t="shared" si="1"/>
        <v>0.230442176870748</v>
      </c>
      <c r="F13" s="1" t="s">
        <v>233</v>
      </c>
      <c r="G13" s="23">
        <v>40193</v>
      </c>
      <c r="H13" s="23">
        <v>44840</v>
      </c>
      <c r="I13" s="24">
        <f t="shared" si="2"/>
        <v>4647</v>
      </c>
      <c r="J13" s="5">
        <f t="shared" si="3"/>
        <v>0.115617147264449</v>
      </c>
      <c r="K13" s="42" t="s">
        <v>451</v>
      </c>
      <c r="L13" s="43">
        <v>52</v>
      </c>
      <c r="M13" s="43">
        <v>327</v>
      </c>
      <c r="N13" s="43">
        <f t="shared" si="5"/>
        <v>275</v>
      </c>
      <c r="O13" s="5">
        <f t="shared" si="4"/>
        <v>5.28846153846154</v>
      </c>
    </row>
    <row r="14" ht="18" customHeight="1" spans="1:15">
      <c r="A14" s="1" t="s">
        <v>45</v>
      </c>
      <c r="B14" s="24">
        <v>553</v>
      </c>
      <c r="C14" s="24">
        <v>597</v>
      </c>
      <c r="D14" s="24">
        <f t="shared" si="0"/>
        <v>44</v>
      </c>
      <c r="E14" s="5">
        <f t="shared" si="1"/>
        <v>0.0795660036166365</v>
      </c>
      <c r="F14" s="1" t="s">
        <v>235</v>
      </c>
      <c r="G14" s="23">
        <v>2491</v>
      </c>
      <c r="H14" s="23">
        <v>1637</v>
      </c>
      <c r="I14" s="24">
        <f t="shared" si="2"/>
        <v>-854</v>
      </c>
      <c r="J14" s="5">
        <f t="shared" si="3"/>
        <v>-0.342834203131273</v>
      </c>
      <c r="K14" s="42"/>
      <c r="L14" s="43"/>
      <c r="M14" s="43"/>
      <c r="N14" s="43"/>
      <c r="O14" s="5"/>
    </row>
    <row r="15" ht="18" customHeight="1" spans="1:15">
      <c r="A15" s="1" t="s">
        <v>47</v>
      </c>
      <c r="B15" s="24">
        <v>1615</v>
      </c>
      <c r="C15" s="24">
        <v>1601</v>
      </c>
      <c r="D15" s="24">
        <f t="shared" si="0"/>
        <v>-14</v>
      </c>
      <c r="E15" s="5">
        <f t="shared" si="1"/>
        <v>-0.0086687306501548</v>
      </c>
      <c r="F15" s="1" t="s">
        <v>237</v>
      </c>
      <c r="G15" s="23">
        <v>1186</v>
      </c>
      <c r="H15" s="23">
        <v>1550</v>
      </c>
      <c r="I15" s="24">
        <f t="shared" si="2"/>
        <v>364</v>
      </c>
      <c r="J15" s="5">
        <f t="shared" si="3"/>
        <v>0.306913996627319</v>
      </c>
      <c r="K15" s="21" t="s">
        <v>32</v>
      </c>
      <c r="L15" s="44">
        <v>4871</v>
      </c>
      <c r="M15" s="44">
        <v>8907</v>
      </c>
      <c r="N15" s="41">
        <f t="shared" si="5"/>
        <v>4036</v>
      </c>
      <c r="O15" s="18">
        <f>N15/L15</f>
        <v>0.828577294190105</v>
      </c>
    </row>
    <row r="16" ht="18" customHeight="1" spans="1:15">
      <c r="A16" s="1" t="s">
        <v>50</v>
      </c>
      <c r="B16" s="24">
        <v>1247</v>
      </c>
      <c r="C16" s="24">
        <v>1568</v>
      </c>
      <c r="D16" s="24">
        <f t="shared" si="0"/>
        <v>321</v>
      </c>
      <c r="E16" s="5">
        <f t="shared" si="1"/>
        <v>0.257417802726544</v>
      </c>
      <c r="F16" s="1" t="s">
        <v>239</v>
      </c>
      <c r="G16" s="23">
        <v>4902</v>
      </c>
      <c r="H16" s="23">
        <v>8759</v>
      </c>
      <c r="I16" s="24">
        <f t="shared" si="2"/>
        <v>3857</v>
      </c>
      <c r="J16" s="5">
        <f t="shared" si="3"/>
        <v>0.786821705426357</v>
      </c>
      <c r="K16" s="21" t="s">
        <v>35</v>
      </c>
      <c r="L16" s="45">
        <v>2027</v>
      </c>
      <c r="M16" s="45">
        <v>2996</v>
      </c>
      <c r="N16" s="41">
        <f t="shared" si="5"/>
        <v>969</v>
      </c>
      <c r="O16" s="18">
        <f>N16/L16</f>
        <v>0.478046373951653</v>
      </c>
    </row>
    <row r="17" ht="18" customHeight="1" spans="1:15">
      <c r="A17" s="1" t="s">
        <v>53</v>
      </c>
      <c r="B17" s="24">
        <v>462</v>
      </c>
      <c r="C17" s="24">
        <v>627</v>
      </c>
      <c r="D17" s="24">
        <f t="shared" si="0"/>
        <v>165</v>
      </c>
      <c r="E17" s="5">
        <f t="shared" si="1"/>
        <v>0.357142857142857</v>
      </c>
      <c r="F17" s="1" t="s">
        <v>273</v>
      </c>
      <c r="G17" s="23">
        <v>11018</v>
      </c>
      <c r="H17" s="23">
        <v>16163</v>
      </c>
      <c r="I17" s="24">
        <f t="shared" si="2"/>
        <v>5145</v>
      </c>
      <c r="J17" s="5">
        <f t="shared" si="3"/>
        <v>0.466963151207116</v>
      </c>
      <c r="K17" s="46" t="s">
        <v>41</v>
      </c>
      <c r="L17" s="32">
        <f>SUM(L16,L15,L5)</f>
        <v>52268</v>
      </c>
      <c r="M17" s="32">
        <f>SUM(M16,M15,M5)</f>
        <v>51587</v>
      </c>
      <c r="N17" s="41">
        <f t="shared" si="5"/>
        <v>-681</v>
      </c>
      <c r="O17" s="18">
        <f>N17/L17</f>
        <v>-0.0130290043621336</v>
      </c>
    </row>
    <row r="18" ht="18" customHeight="1" spans="1:15">
      <c r="A18" s="1" t="s">
        <v>247</v>
      </c>
      <c r="B18" s="24">
        <v>190</v>
      </c>
      <c r="C18" s="24">
        <v>2000</v>
      </c>
      <c r="D18" s="24">
        <f t="shared" si="0"/>
        <v>1810</v>
      </c>
      <c r="E18" s="5">
        <f t="shared" si="1"/>
        <v>9.52631578947368</v>
      </c>
      <c r="F18" s="1" t="s">
        <v>241</v>
      </c>
      <c r="G18" s="23">
        <v>3032</v>
      </c>
      <c r="H18" s="23">
        <v>761</v>
      </c>
      <c r="I18" s="24">
        <f t="shared" si="2"/>
        <v>-2271</v>
      </c>
      <c r="J18" s="5">
        <f t="shared" si="3"/>
        <v>-0.74901055408971</v>
      </c>
      <c r="K18" s="12" t="s">
        <v>306</v>
      </c>
      <c r="L18" s="13"/>
      <c r="M18" s="13"/>
      <c r="N18" s="13"/>
      <c r="O18" s="40"/>
    </row>
    <row r="19" ht="18" customHeight="1" spans="1:15">
      <c r="A19" s="1" t="s">
        <v>250</v>
      </c>
      <c r="B19" s="24">
        <v>2160</v>
      </c>
      <c r="C19" s="24">
        <v>1190</v>
      </c>
      <c r="D19" s="24">
        <f t="shared" si="0"/>
        <v>-970</v>
      </c>
      <c r="E19" s="5">
        <f t="shared" si="1"/>
        <v>-0.449074074074074</v>
      </c>
      <c r="F19" s="1" t="s">
        <v>274</v>
      </c>
      <c r="G19" s="23">
        <v>2936</v>
      </c>
      <c r="H19" s="23">
        <v>2073</v>
      </c>
      <c r="I19" s="24">
        <f t="shared" si="2"/>
        <v>-863</v>
      </c>
      <c r="J19" s="5">
        <f t="shared" si="3"/>
        <v>-0.293937329700272</v>
      </c>
      <c r="K19" s="15" t="s">
        <v>6</v>
      </c>
      <c r="L19" s="15" t="s">
        <v>438</v>
      </c>
      <c r="M19" s="15" t="s">
        <v>439</v>
      </c>
      <c r="N19" s="15" t="s">
        <v>11</v>
      </c>
      <c r="O19" s="15" t="s">
        <v>10</v>
      </c>
    </row>
    <row r="20" ht="18" customHeight="1" spans="1:15">
      <c r="A20" s="21" t="s">
        <v>68</v>
      </c>
      <c r="B20" s="17">
        <f>SUM(B21,B26:B29)</f>
        <v>23031</v>
      </c>
      <c r="C20" s="17">
        <f>SUM(C21,C26:C29)</f>
        <v>30228</v>
      </c>
      <c r="D20" s="17">
        <f>SUM(D21,D26:D29)</f>
        <v>7197</v>
      </c>
      <c r="E20" s="18">
        <f t="shared" si="1"/>
        <v>0.31249185879901</v>
      </c>
      <c r="F20" s="1" t="s">
        <v>275</v>
      </c>
      <c r="G20" s="23">
        <v>14023</v>
      </c>
      <c r="H20" s="23">
        <v>17921</v>
      </c>
      <c r="I20" s="24">
        <f t="shared" si="2"/>
        <v>3898</v>
      </c>
      <c r="J20" s="5">
        <f t="shared" si="3"/>
        <v>0.277971903301719</v>
      </c>
      <c r="K20" s="16" t="s">
        <v>49</v>
      </c>
      <c r="L20" s="17">
        <f>SUM(L21:L40)</f>
        <v>49270</v>
      </c>
      <c r="M20" s="17">
        <f>SUM(M21:M40)</f>
        <v>46347</v>
      </c>
      <c r="N20" s="17">
        <f>SUM(N21:N40)</f>
        <v>-3612</v>
      </c>
      <c r="O20" s="18">
        <f t="shared" ref="O20:O25" si="6">N20/L20</f>
        <v>-0.0733103308301197</v>
      </c>
    </row>
    <row r="21" ht="18" customHeight="1" spans="1:15">
      <c r="A21" s="21" t="s">
        <v>71</v>
      </c>
      <c r="B21" s="17">
        <f>SUM(B22:B25)</f>
        <v>1173</v>
      </c>
      <c r="C21" s="17">
        <f>SUM(C22:C25)</f>
        <v>1741</v>
      </c>
      <c r="D21" s="17">
        <f>SUM(D22:D25)</f>
        <v>568</v>
      </c>
      <c r="E21" s="18">
        <f t="shared" si="1"/>
        <v>0.484228473998295</v>
      </c>
      <c r="F21" s="1" t="s">
        <v>244</v>
      </c>
      <c r="G21" s="23">
        <v>3447</v>
      </c>
      <c r="H21" s="23">
        <v>2372</v>
      </c>
      <c r="I21" s="24">
        <f t="shared" si="2"/>
        <v>-1075</v>
      </c>
      <c r="J21" s="5">
        <f t="shared" si="3"/>
        <v>-0.311865390194372</v>
      </c>
      <c r="K21" s="42" t="s">
        <v>341</v>
      </c>
      <c r="L21" s="43">
        <v>662</v>
      </c>
      <c r="M21" s="43">
        <v>2655</v>
      </c>
      <c r="N21" s="43">
        <f t="shared" ref="N21:N35" si="7">M21-L21</f>
        <v>1993</v>
      </c>
      <c r="O21" s="5">
        <f t="shared" si="6"/>
        <v>3.01057401812689</v>
      </c>
    </row>
    <row r="22" ht="18" customHeight="1" spans="1:15">
      <c r="A22" s="1" t="s">
        <v>398</v>
      </c>
      <c r="B22" s="24">
        <v>113</v>
      </c>
      <c r="C22" s="24">
        <v>131</v>
      </c>
      <c r="D22" s="24">
        <f t="shared" ref="D22:D33" si="8">C22-B22</f>
        <v>18</v>
      </c>
      <c r="E22" s="5">
        <f t="shared" si="1"/>
        <v>0.15929203539823</v>
      </c>
      <c r="F22" s="1" t="s">
        <v>276</v>
      </c>
      <c r="G22" s="23">
        <v>2190</v>
      </c>
      <c r="H22" s="23">
        <v>1134</v>
      </c>
      <c r="I22" s="24">
        <f t="shared" si="2"/>
        <v>-1056</v>
      </c>
      <c r="J22" s="5">
        <f t="shared" si="3"/>
        <v>-0.482191780821918</v>
      </c>
      <c r="K22" s="42" t="s">
        <v>342</v>
      </c>
      <c r="L22" s="43">
        <v>49</v>
      </c>
      <c r="M22" s="43">
        <v>56</v>
      </c>
      <c r="N22" s="43">
        <f t="shared" si="7"/>
        <v>7</v>
      </c>
      <c r="O22" s="5">
        <f t="shared" si="6"/>
        <v>0.142857142857143</v>
      </c>
    </row>
    <row r="23" ht="18" customHeight="1" spans="1:15">
      <c r="A23" s="1" t="s">
        <v>310</v>
      </c>
      <c r="B23" s="24"/>
      <c r="C23" s="24">
        <v>92</v>
      </c>
      <c r="D23" s="24">
        <f t="shared" si="8"/>
        <v>92</v>
      </c>
      <c r="E23" s="5"/>
      <c r="F23" s="1" t="s">
        <v>277</v>
      </c>
      <c r="G23" s="23">
        <v>3814</v>
      </c>
      <c r="H23" s="23">
        <v>2672</v>
      </c>
      <c r="I23" s="24">
        <f t="shared" si="2"/>
        <v>-1142</v>
      </c>
      <c r="J23" s="5">
        <f t="shared" si="3"/>
        <v>-0.299423177766125</v>
      </c>
      <c r="K23" s="42" t="s">
        <v>430</v>
      </c>
      <c r="L23" s="43">
        <v>368</v>
      </c>
      <c r="M23" s="43">
        <v>291</v>
      </c>
      <c r="N23" s="43">
        <f t="shared" si="7"/>
        <v>-77</v>
      </c>
      <c r="O23" s="5">
        <f t="shared" si="6"/>
        <v>-0.209239130434783</v>
      </c>
    </row>
    <row r="24" ht="18" customHeight="1" spans="1:15">
      <c r="A24" s="1" t="s">
        <v>312</v>
      </c>
      <c r="B24" s="24">
        <v>997</v>
      </c>
      <c r="C24" s="24">
        <v>1411</v>
      </c>
      <c r="D24" s="24">
        <f t="shared" si="8"/>
        <v>414</v>
      </c>
      <c r="E24" s="5">
        <f t="shared" si="1"/>
        <v>0.415245737211635</v>
      </c>
      <c r="F24" s="1" t="s">
        <v>395</v>
      </c>
      <c r="G24" s="23"/>
      <c r="H24" s="23">
        <v>10</v>
      </c>
      <c r="I24" s="24">
        <f t="shared" si="2"/>
        <v>10</v>
      </c>
      <c r="J24" s="5"/>
      <c r="K24" s="42" t="s">
        <v>344</v>
      </c>
      <c r="L24" s="43">
        <v>135</v>
      </c>
      <c r="M24" s="43">
        <v>189</v>
      </c>
      <c r="N24" s="43">
        <f t="shared" si="7"/>
        <v>54</v>
      </c>
      <c r="O24" s="5">
        <f t="shared" si="6"/>
        <v>0.4</v>
      </c>
    </row>
    <row r="25" ht="18" customHeight="1" spans="1:15">
      <c r="A25" s="25" t="s">
        <v>345</v>
      </c>
      <c r="B25" s="24">
        <v>63</v>
      </c>
      <c r="C25" s="24">
        <v>107</v>
      </c>
      <c r="D25" s="24">
        <f t="shared" si="8"/>
        <v>44</v>
      </c>
      <c r="E25" s="5">
        <f t="shared" si="1"/>
        <v>0.698412698412698</v>
      </c>
      <c r="F25" s="1" t="s">
        <v>396</v>
      </c>
      <c r="G25" s="23">
        <v>1861</v>
      </c>
      <c r="H25" s="23">
        <v>895</v>
      </c>
      <c r="I25" s="24">
        <f t="shared" si="2"/>
        <v>-966</v>
      </c>
      <c r="J25" s="5">
        <f t="shared" si="3"/>
        <v>-0.519075765717356</v>
      </c>
      <c r="K25" s="42" t="s">
        <v>346</v>
      </c>
      <c r="L25" s="43">
        <v>181</v>
      </c>
      <c r="M25" s="43">
        <v>138</v>
      </c>
      <c r="N25" s="43">
        <f t="shared" si="7"/>
        <v>-43</v>
      </c>
      <c r="O25" s="5">
        <f t="shared" si="6"/>
        <v>-0.237569060773481</v>
      </c>
    </row>
    <row r="26" ht="18" customHeight="1" spans="1:15">
      <c r="A26" s="1" t="s">
        <v>77</v>
      </c>
      <c r="B26" s="24">
        <v>5850</v>
      </c>
      <c r="C26" s="24">
        <v>9791</v>
      </c>
      <c r="D26" s="24">
        <f t="shared" si="8"/>
        <v>3941</v>
      </c>
      <c r="E26" s="5">
        <f t="shared" si="1"/>
        <v>0.673675213675214</v>
      </c>
      <c r="F26" s="1" t="s">
        <v>63</v>
      </c>
      <c r="G26" s="23">
        <v>1252</v>
      </c>
      <c r="H26" s="23">
        <v>4200</v>
      </c>
      <c r="I26" s="24">
        <f t="shared" si="2"/>
        <v>2948</v>
      </c>
      <c r="J26" s="5">
        <f t="shared" si="3"/>
        <v>2.35463258785942</v>
      </c>
      <c r="K26" s="42" t="s">
        <v>347</v>
      </c>
      <c r="L26" s="43">
        <v>42316</v>
      </c>
      <c r="M26" s="43">
        <v>35392</v>
      </c>
      <c r="N26" s="43">
        <f t="shared" si="7"/>
        <v>-6924</v>
      </c>
      <c r="O26" s="5">
        <f t="shared" ref="O26:O36" si="9">N26/L26</f>
        <v>-0.163626051611684</v>
      </c>
    </row>
    <row r="27" ht="18" customHeight="1" spans="1:15">
      <c r="A27" s="1" t="s">
        <v>80</v>
      </c>
      <c r="B27" s="24">
        <v>1197</v>
      </c>
      <c r="C27" s="24">
        <v>1196</v>
      </c>
      <c r="D27" s="24">
        <f t="shared" si="8"/>
        <v>-1</v>
      </c>
      <c r="E27" s="5">
        <f t="shared" si="1"/>
        <v>-0.000835421888053467</v>
      </c>
      <c r="F27" s="1" t="s">
        <v>397</v>
      </c>
      <c r="G27" s="23">
        <v>842</v>
      </c>
      <c r="H27" s="23">
        <f>574+541</f>
        <v>1115</v>
      </c>
      <c r="I27" s="24">
        <f t="shared" si="2"/>
        <v>273</v>
      </c>
      <c r="J27" s="5">
        <f t="shared" si="3"/>
        <v>0.324228028503563</v>
      </c>
      <c r="K27" s="42" t="s">
        <v>348</v>
      </c>
      <c r="L27" s="43">
        <v>502</v>
      </c>
      <c r="M27" s="43">
        <v>924</v>
      </c>
      <c r="N27" s="43">
        <f t="shared" si="7"/>
        <v>422</v>
      </c>
      <c r="O27" s="5">
        <f t="shared" si="9"/>
        <v>0.840637450199203</v>
      </c>
    </row>
    <row r="28" ht="18" customHeight="1" spans="1:15">
      <c r="A28" s="1" t="s">
        <v>83</v>
      </c>
      <c r="B28" s="24">
        <v>5042</v>
      </c>
      <c r="C28" s="24">
        <v>9934</v>
      </c>
      <c r="D28" s="24">
        <f t="shared" si="8"/>
        <v>4892</v>
      </c>
      <c r="E28" s="5">
        <f t="shared" si="1"/>
        <v>0.970249900833003</v>
      </c>
      <c r="F28" s="1" t="s">
        <v>257</v>
      </c>
      <c r="G28" s="23">
        <v>1662</v>
      </c>
      <c r="H28" s="23">
        <v>2660</v>
      </c>
      <c r="I28" s="24">
        <f t="shared" si="2"/>
        <v>998</v>
      </c>
      <c r="J28" s="5">
        <f t="shared" si="3"/>
        <v>0.600481347773766</v>
      </c>
      <c r="K28" s="42" t="s">
        <v>401</v>
      </c>
      <c r="L28" s="43">
        <v>1836</v>
      </c>
      <c r="M28" s="43">
        <v>1549</v>
      </c>
      <c r="N28" s="43">
        <f t="shared" si="7"/>
        <v>-287</v>
      </c>
      <c r="O28" s="5">
        <f t="shared" si="9"/>
        <v>-0.156318082788671</v>
      </c>
    </row>
    <row r="29" ht="18" customHeight="1" spans="1:15">
      <c r="A29" s="1" t="s">
        <v>452</v>
      </c>
      <c r="B29" s="24">
        <v>9769</v>
      </c>
      <c r="C29" s="24">
        <f>277+7289</f>
        <v>7566</v>
      </c>
      <c r="D29" s="24">
        <f t="shared" si="8"/>
        <v>-2203</v>
      </c>
      <c r="E29" s="5">
        <f t="shared" si="1"/>
        <v>-0.225509263998362</v>
      </c>
      <c r="F29" s="26" t="s">
        <v>78</v>
      </c>
      <c r="G29" s="27">
        <f>SUM(G30:G31)</f>
        <v>1279</v>
      </c>
      <c r="H29" s="27">
        <f>SUM(H30:H31)</f>
        <v>1411</v>
      </c>
      <c r="I29" s="17">
        <f t="shared" si="2"/>
        <v>132</v>
      </c>
      <c r="J29" s="18">
        <f t="shared" si="3"/>
        <v>0.103205629397967</v>
      </c>
      <c r="K29" s="42" t="s">
        <v>402</v>
      </c>
      <c r="L29" s="43">
        <v>127</v>
      </c>
      <c r="M29" s="43">
        <v>86</v>
      </c>
      <c r="N29" s="43">
        <f t="shared" si="7"/>
        <v>-41</v>
      </c>
      <c r="O29" s="5">
        <f t="shared" si="9"/>
        <v>-0.322834645669291</v>
      </c>
    </row>
    <row r="30" ht="18" customHeight="1" spans="1:15">
      <c r="A30" s="28" t="s">
        <v>94</v>
      </c>
      <c r="B30" s="17">
        <f>SUM(B31:B34)</f>
        <v>53357</v>
      </c>
      <c r="C30" s="17">
        <f>SUM(C31:C34)</f>
        <v>63160</v>
      </c>
      <c r="D30" s="17">
        <f t="shared" si="8"/>
        <v>9803</v>
      </c>
      <c r="E30" s="18">
        <f t="shared" si="1"/>
        <v>0.183724722154544</v>
      </c>
      <c r="F30" s="1" t="s">
        <v>81</v>
      </c>
      <c r="G30" s="23">
        <v>417</v>
      </c>
      <c r="H30" s="23">
        <v>417</v>
      </c>
      <c r="I30" s="24">
        <f t="shared" si="2"/>
        <v>0</v>
      </c>
      <c r="J30" s="5">
        <f t="shared" si="3"/>
        <v>0</v>
      </c>
      <c r="K30" s="42" t="s">
        <v>351</v>
      </c>
      <c r="L30" s="43">
        <v>892</v>
      </c>
      <c r="M30" s="43">
        <v>1691</v>
      </c>
      <c r="N30" s="43">
        <f t="shared" si="7"/>
        <v>799</v>
      </c>
      <c r="O30" s="5">
        <f t="shared" si="9"/>
        <v>0.895739910313901</v>
      </c>
    </row>
    <row r="31" ht="18" customHeight="1" spans="1:15">
      <c r="A31" s="29" t="s">
        <v>96</v>
      </c>
      <c r="B31" s="24">
        <f>1671+5247+659</f>
        <v>7577</v>
      </c>
      <c r="C31" s="24">
        <f>1671+5247+659</f>
        <v>7577</v>
      </c>
      <c r="D31" s="24">
        <f t="shared" si="8"/>
        <v>0</v>
      </c>
      <c r="E31" s="5">
        <f t="shared" si="1"/>
        <v>0</v>
      </c>
      <c r="F31" s="1" t="s">
        <v>84</v>
      </c>
      <c r="G31" s="23">
        <v>862</v>
      </c>
      <c r="H31" s="23">
        <v>994</v>
      </c>
      <c r="I31" s="24">
        <f t="shared" si="2"/>
        <v>132</v>
      </c>
      <c r="J31" s="5">
        <f t="shared" si="3"/>
        <v>0.153132250580046</v>
      </c>
      <c r="K31" s="42" t="s">
        <v>352</v>
      </c>
      <c r="L31" s="43">
        <v>300</v>
      </c>
      <c r="M31" s="43">
        <v>723</v>
      </c>
      <c r="N31" s="43">
        <f t="shared" si="7"/>
        <v>423</v>
      </c>
      <c r="O31" s="5"/>
    </row>
    <row r="32" ht="18" customHeight="1" spans="1:15">
      <c r="A32" s="29" t="s">
        <v>99</v>
      </c>
      <c r="B32" s="24">
        <v>14555</v>
      </c>
      <c r="C32" s="24">
        <v>30525</v>
      </c>
      <c r="D32" s="24">
        <f t="shared" si="8"/>
        <v>15970</v>
      </c>
      <c r="E32" s="5">
        <f t="shared" si="1"/>
        <v>1.09721745104775</v>
      </c>
      <c r="F32" s="21" t="s">
        <v>453</v>
      </c>
      <c r="G32" s="20">
        <v>6799</v>
      </c>
      <c r="H32" s="20">
        <v>9300</v>
      </c>
      <c r="I32" s="17">
        <f t="shared" si="2"/>
        <v>2501</v>
      </c>
      <c r="J32" s="18">
        <f t="shared" si="3"/>
        <v>0.367848212972496</v>
      </c>
      <c r="K32" s="42" t="s">
        <v>403</v>
      </c>
      <c r="L32" s="43">
        <v>369</v>
      </c>
      <c r="M32" s="43">
        <v>270</v>
      </c>
      <c r="N32" s="43">
        <f t="shared" si="7"/>
        <v>-99</v>
      </c>
      <c r="O32" s="5">
        <f t="shared" si="9"/>
        <v>-0.268292682926829</v>
      </c>
    </row>
    <row r="33" ht="18" customHeight="1" spans="1:15">
      <c r="A33" s="29" t="s">
        <v>102</v>
      </c>
      <c r="B33" s="24">
        <v>31225</v>
      </c>
      <c r="C33" s="24">
        <v>25058</v>
      </c>
      <c r="D33" s="24">
        <f t="shared" si="8"/>
        <v>-6167</v>
      </c>
      <c r="E33" s="5">
        <f t="shared" si="1"/>
        <v>-0.197502001601281</v>
      </c>
      <c r="F33" s="1" t="s">
        <v>100</v>
      </c>
      <c r="G33" s="23">
        <v>6799</v>
      </c>
      <c r="H33" s="23">
        <v>9300</v>
      </c>
      <c r="I33" s="24">
        <f t="shared" si="2"/>
        <v>2501</v>
      </c>
      <c r="J33" s="5">
        <f t="shared" si="3"/>
        <v>0.367848212972496</v>
      </c>
      <c r="K33" s="42" t="s">
        <v>404</v>
      </c>
      <c r="L33" s="43">
        <v>264</v>
      </c>
      <c r="M33" s="43">
        <v>301</v>
      </c>
      <c r="N33" s="43">
        <f t="shared" si="7"/>
        <v>37</v>
      </c>
      <c r="O33" s="5">
        <f t="shared" si="9"/>
        <v>0.140151515151515</v>
      </c>
    </row>
    <row r="34" ht="18" customHeight="1" spans="1:15">
      <c r="A34" s="28"/>
      <c r="B34" s="17"/>
      <c r="C34" s="17"/>
      <c r="D34" s="17"/>
      <c r="E34" s="18"/>
      <c r="F34" s="21" t="s">
        <v>103</v>
      </c>
      <c r="G34" s="17">
        <f>SUM(G5,G29,G32)</f>
        <v>129724</v>
      </c>
      <c r="H34" s="17">
        <f>SUM(H5,H29,H32)</f>
        <v>151975</v>
      </c>
      <c r="I34" s="17">
        <f t="shared" si="2"/>
        <v>22251</v>
      </c>
      <c r="J34" s="18">
        <f t="shared" si="3"/>
        <v>0.171525700718448</v>
      </c>
      <c r="K34" s="42" t="s">
        <v>405</v>
      </c>
      <c r="L34" s="43">
        <v>60</v>
      </c>
      <c r="M34" s="43">
        <v>40</v>
      </c>
      <c r="N34" s="43">
        <f t="shared" si="7"/>
        <v>-20</v>
      </c>
      <c r="O34" s="5">
        <f t="shared" si="9"/>
        <v>-0.333333333333333</v>
      </c>
    </row>
    <row r="35" ht="18" customHeight="1" spans="1:15">
      <c r="A35" s="1"/>
      <c r="B35" s="24"/>
      <c r="C35" s="24"/>
      <c r="D35" s="24"/>
      <c r="E35" s="18"/>
      <c r="F35" s="30" t="s">
        <v>355</v>
      </c>
      <c r="G35" s="31"/>
      <c r="H35" s="31"/>
      <c r="I35" s="31"/>
      <c r="J35" s="48"/>
      <c r="K35" s="42" t="s">
        <v>406</v>
      </c>
      <c r="L35" s="43">
        <v>51</v>
      </c>
      <c r="M35" s="43">
        <v>198</v>
      </c>
      <c r="N35" s="43">
        <f t="shared" si="7"/>
        <v>147</v>
      </c>
      <c r="O35" s="5">
        <f t="shared" si="9"/>
        <v>2.88235294117647</v>
      </c>
    </row>
    <row r="36" ht="18" customHeight="1" spans="1:15">
      <c r="A36" s="1"/>
      <c r="B36" s="24"/>
      <c r="C36" s="24"/>
      <c r="D36" s="24"/>
      <c r="E36" s="18"/>
      <c r="F36" s="15" t="s">
        <v>6</v>
      </c>
      <c r="G36" s="15" t="s">
        <v>438</v>
      </c>
      <c r="H36" s="15" t="s">
        <v>439</v>
      </c>
      <c r="I36" s="15" t="s">
        <v>9</v>
      </c>
      <c r="J36" s="15" t="s">
        <v>10</v>
      </c>
      <c r="K36" s="42" t="s">
        <v>408</v>
      </c>
      <c r="L36" s="43">
        <v>42</v>
      </c>
      <c r="M36" s="43">
        <v>46</v>
      </c>
      <c r="N36" s="43">
        <f t="shared" ref="N36:N42" si="10">M36-L36</f>
        <v>4</v>
      </c>
      <c r="O36" s="5">
        <f t="shared" si="9"/>
        <v>0.0952380952380952</v>
      </c>
    </row>
    <row r="37" ht="18" customHeight="1" spans="1:15">
      <c r="A37" s="29"/>
      <c r="B37" s="24"/>
      <c r="C37" s="24"/>
      <c r="D37" s="24"/>
      <c r="E37" s="18"/>
      <c r="F37" s="21" t="s">
        <v>383</v>
      </c>
      <c r="G37" s="32">
        <f>B5</f>
        <v>65541</v>
      </c>
      <c r="H37" s="32">
        <f>C5</f>
        <v>81016</v>
      </c>
      <c r="I37" s="17">
        <f t="shared" ref="I37:I42" si="11">H37-G37</f>
        <v>15475</v>
      </c>
      <c r="J37" s="18">
        <f t="shared" ref="J37:J43" si="12">I37/G37</f>
        <v>0.236111746845486</v>
      </c>
      <c r="K37" s="42" t="s">
        <v>409</v>
      </c>
      <c r="L37" s="43"/>
      <c r="M37" s="43">
        <v>689</v>
      </c>
      <c r="N37" s="43"/>
      <c r="O37" s="5"/>
    </row>
    <row r="38" ht="18" customHeight="1" spans="1:15">
      <c r="A38" s="33" t="s">
        <v>105</v>
      </c>
      <c r="B38" s="17">
        <v>9376</v>
      </c>
      <c r="C38" s="17">
        <v>6799</v>
      </c>
      <c r="D38" s="17">
        <f>C38-B38</f>
        <v>-2577</v>
      </c>
      <c r="E38" s="18">
        <f>D38/B38</f>
        <v>-0.274850682593857</v>
      </c>
      <c r="F38" s="34" t="s">
        <v>359</v>
      </c>
      <c r="G38" s="32">
        <f>SUM(G39:G42)</f>
        <v>34558.5</v>
      </c>
      <c r="H38" s="32">
        <f>SUM(H39:H42)</f>
        <v>48539</v>
      </c>
      <c r="I38" s="32">
        <f>SUM(I39:I42)</f>
        <v>13980</v>
      </c>
      <c r="J38" s="18">
        <f t="shared" si="12"/>
        <v>0.404531446677373</v>
      </c>
      <c r="K38" s="42" t="s">
        <v>410</v>
      </c>
      <c r="L38" s="43">
        <f>172+258</f>
        <v>430</v>
      </c>
      <c r="M38" s="43">
        <v>647</v>
      </c>
      <c r="N38" s="43">
        <f>M38-L38</f>
        <v>217</v>
      </c>
      <c r="O38" s="5">
        <f>N38/L38</f>
        <v>0.504651162790698</v>
      </c>
    </row>
    <row r="39" ht="18" customHeight="1" spans="1:15">
      <c r="A39" s="33" t="s">
        <v>407</v>
      </c>
      <c r="B39" s="17">
        <v>1450</v>
      </c>
      <c r="C39" s="17">
        <v>1000</v>
      </c>
      <c r="D39" s="17">
        <f>C39-B39</f>
        <v>-450</v>
      </c>
      <c r="E39" s="18">
        <f>D39/B39</f>
        <v>-0.310344827586207</v>
      </c>
      <c r="F39" s="35" t="s">
        <v>361</v>
      </c>
      <c r="G39" s="24">
        <f>B7*3</f>
        <v>23550</v>
      </c>
      <c r="H39" s="24">
        <f>C7*3</f>
        <v>30639</v>
      </c>
      <c r="I39" s="24">
        <f t="shared" si="11"/>
        <v>7089</v>
      </c>
      <c r="J39" s="5">
        <f t="shared" si="12"/>
        <v>0.301019108280255</v>
      </c>
      <c r="K39" s="42" t="s">
        <v>421</v>
      </c>
      <c r="L39" s="43">
        <v>686</v>
      </c>
      <c r="M39" s="43">
        <v>462</v>
      </c>
      <c r="N39" s="43">
        <f t="shared" si="10"/>
        <v>-224</v>
      </c>
      <c r="O39" s="5">
        <f>N39/L39</f>
        <v>-0.326530612244898</v>
      </c>
    </row>
    <row r="40" ht="18" customHeight="1" spans="1:15">
      <c r="A40" s="33"/>
      <c r="B40" s="17"/>
      <c r="C40" s="17"/>
      <c r="D40" s="17"/>
      <c r="E40" s="18"/>
      <c r="F40" s="35" t="s">
        <v>117</v>
      </c>
      <c r="G40" s="24">
        <v>6278</v>
      </c>
      <c r="H40" s="24">
        <f>C9*1.5</f>
        <v>12246</v>
      </c>
      <c r="I40" s="24">
        <f t="shared" si="11"/>
        <v>5968</v>
      </c>
      <c r="J40" s="5">
        <f t="shared" si="12"/>
        <v>0.950621216948073</v>
      </c>
      <c r="K40" s="42"/>
      <c r="L40" s="43"/>
      <c r="M40" s="43"/>
      <c r="N40" s="43"/>
      <c r="O40" s="5"/>
    </row>
    <row r="41" ht="18" customHeight="1" spans="1:15">
      <c r="A41" s="33"/>
      <c r="B41" s="17"/>
      <c r="C41" s="17"/>
      <c r="D41" s="17"/>
      <c r="E41" s="18"/>
      <c r="F41" s="35" t="s">
        <v>118</v>
      </c>
      <c r="G41" s="24">
        <f>B10*1.5</f>
        <v>4585.5</v>
      </c>
      <c r="H41" s="24">
        <f>C10*1.5</f>
        <v>5487</v>
      </c>
      <c r="I41" s="24">
        <f>H41-G41-0.5</f>
        <v>901</v>
      </c>
      <c r="J41" s="5">
        <f t="shared" si="12"/>
        <v>0.196488932504634</v>
      </c>
      <c r="K41" s="16" t="s">
        <v>412</v>
      </c>
      <c r="L41" s="41">
        <v>2</v>
      </c>
      <c r="M41" s="41">
        <v>153</v>
      </c>
      <c r="N41" s="41">
        <f t="shared" si="10"/>
        <v>151</v>
      </c>
      <c r="O41" s="18"/>
    </row>
    <row r="42" ht="18" customHeight="1" spans="1:15">
      <c r="A42" s="1"/>
      <c r="B42" s="4"/>
      <c r="C42" s="4"/>
      <c r="D42" s="4"/>
      <c r="E42" s="18"/>
      <c r="F42" s="35" t="s">
        <v>314</v>
      </c>
      <c r="G42" s="24">
        <v>145</v>
      </c>
      <c r="H42" s="24">
        <v>167</v>
      </c>
      <c r="I42" s="24">
        <f t="shared" si="11"/>
        <v>22</v>
      </c>
      <c r="J42" s="5">
        <f t="shared" si="12"/>
        <v>0.151724137931034</v>
      </c>
      <c r="K42" s="21" t="s">
        <v>268</v>
      </c>
      <c r="L42" s="45">
        <v>2996</v>
      </c>
      <c r="M42" s="45">
        <v>5087</v>
      </c>
      <c r="N42" s="41">
        <f t="shared" si="10"/>
        <v>2091</v>
      </c>
      <c r="O42" s="18">
        <f>N42/L42</f>
        <v>0.697930574098798</v>
      </c>
    </row>
    <row r="43" ht="18" customHeight="1" spans="1:15">
      <c r="A43" s="28" t="s">
        <v>124</v>
      </c>
      <c r="B43" s="17">
        <f>SUM(B5,B30,B38:B39)</f>
        <v>129724</v>
      </c>
      <c r="C43" s="17">
        <f>SUM(C5,C30,C38:C39)</f>
        <v>151975</v>
      </c>
      <c r="D43" s="17">
        <f>SUM(D5,D30,D38:D39)</f>
        <v>22251</v>
      </c>
      <c r="E43" s="18">
        <f>D43/B43</f>
        <v>0.171525700718448</v>
      </c>
      <c r="F43" s="36" t="s">
        <v>363</v>
      </c>
      <c r="G43" s="32">
        <f>SUM(G37:G38)</f>
        <v>100099.5</v>
      </c>
      <c r="H43" s="32">
        <f>SUM(H37:H38)</f>
        <v>129555</v>
      </c>
      <c r="I43" s="32">
        <f>SUM(I37:I38)</f>
        <v>29455</v>
      </c>
      <c r="J43" s="18">
        <f t="shared" si="12"/>
        <v>0.294257214071998</v>
      </c>
      <c r="K43" s="21" t="s">
        <v>91</v>
      </c>
      <c r="L43" s="17">
        <f>SUM(L20,L41:L42)</f>
        <v>52268</v>
      </c>
      <c r="M43" s="17">
        <f>SUM(M20,M41:M42)</f>
        <v>51587</v>
      </c>
      <c r="N43" s="17">
        <f>SUM(N20,N41:N42)</f>
        <v>-1370</v>
      </c>
      <c r="O43" s="18">
        <f>N43/L43</f>
        <v>-0.0262110660442336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8:O18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J28" sqref="J28"/>
    </sheetView>
  </sheetViews>
  <sheetFormatPr defaultColWidth="9" defaultRowHeight="14.25"/>
  <cols>
    <col min="1" max="1" width="25.875" customWidth="1"/>
    <col min="2" max="2" width="10.625" customWidth="1"/>
    <col min="3" max="3" width="10.375" customWidth="1"/>
    <col min="5" max="5" width="10" customWidth="1"/>
    <col min="6" max="6" width="29.375" customWidth="1"/>
    <col min="7" max="7" width="10.375" customWidth="1"/>
    <col min="8" max="8" width="10.5" customWidth="1"/>
    <col min="9" max="9" width="10" customWidth="1"/>
    <col min="10" max="10" width="9.5" customWidth="1"/>
    <col min="11" max="11" width="38.125" customWidth="1"/>
    <col min="12" max="13" width="10.375" customWidth="1"/>
    <col min="15" max="15" width="9.375" style="6" customWidth="1"/>
    <col min="17" max="17" width="14.375" customWidth="1"/>
  </cols>
  <sheetData>
    <row r="1" ht="33.75" spans="1:15">
      <c r="A1" s="7" t="s">
        <v>454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436</v>
      </c>
      <c r="B3" s="10"/>
      <c r="C3" s="10"/>
      <c r="D3" s="10"/>
      <c r="E3" s="11"/>
      <c r="F3" s="49" t="s">
        <v>437</v>
      </c>
      <c r="G3" s="49"/>
      <c r="H3" s="49"/>
      <c r="I3" s="49"/>
      <c r="J3" s="49"/>
      <c r="K3" s="49" t="s">
        <v>292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455</v>
      </c>
      <c r="C4" s="15" t="s">
        <v>456</v>
      </c>
      <c r="D4" s="15" t="s">
        <v>131</v>
      </c>
      <c r="E4" s="15" t="s">
        <v>132</v>
      </c>
      <c r="F4" s="15" t="s">
        <v>6</v>
      </c>
      <c r="G4" s="15" t="s">
        <v>455</v>
      </c>
      <c r="H4" s="15" t="s">
        <v>456</v>
      </c>
      <c r="I4" s="15" t="s">
        <v>131</v>
      </c>
      <c r="J4" s="15" t="s">
        <v>132</v>
      </c>
      <c r="K4" s="15" t="s">
        <v>6</v>
      </c>
      <c r="L4" s="15" t="s">
        <v>455</v>
      </c>
      <c r="M4" s="15" t="s">
        <v>456</v>
      </c>
      <c r="N4" s="15" t="s">
        <v>131</v>
      </c>
      <c r="O4" s="15" t="s">
        <v>132</v>
      </c>
    </row>
    <row r="5" ht="17.25" customHeight="1" spans="1:15">
      <c r="A5" s="16" t="s">
        <v>383</v>
      </c>
      <c r="B5" s="17">
        <f>SUM(B6,B20)</f>
        <v>75350</v>
      </c>
      <c r="C5" s="17">
        <f>SUM(C6,C20)</f>
        <v>81000</v>
      </c>
      <c r="D5" s="17">
        <f>SUM(D6,D20)</f>
        <v>81016</v>
      </c>
      <c r="E5" s="18">
        <f t="shared" ref="E5:E29" si="0">D5/C5</f>
        <v>1.0001975308642</v>
      </c>
      <c r="F5" s="16" t="s">
        <v>440</v>
      </c>
      <c r="G5" s="50">
        <f>SUM(G6,G11:G28)</f>
        <v>93256</v>
      </c>
      <c r="H5" s="50">
        <f>SUM(H6,H11:H28)</f>
        <v>150564</v>
      </c>
      <c r="I5" s="50">
        <f>SUM(I6,I11:I28)</f>
        <v>141264</v>
      </c>
      <c r="J5" s="18">
        <f t="shared" ref="J5:J28" si="1">I5/H5</f>
        <v>0.938232246752212</v>
      </c>
      <c r="K5" s="16" t="s">
        <v>133</v>
      </c>
      <c r="L5" s="50">
        <f>SUM(L6:L13)</f>
        <v>21960</v>
      </c>
      <c r="M5" s="50">
        <f>SUM(M6:M13)</f>
        <v>42060</v>
      </c>
      <c r="N5" s="50">
        <f>SUM(N6:N13)</f>
        <v>39684</v>
      </c>
      <c r="O5" s="18">
        <f t="shared" ref="O5:O13" si="2">N5/M5</f>
        <v>0.943509272467903</v>
      </c>
    </row>
    <row r="6" ht="17.25" customHeight="1" spans="1:15">
      <c r="A6" s="21" t="s">
        <v>15</v>
      </c>
      <c r="B6" s="17">
        <f>SUM(B7:B19)</f>
        <v>49550</v>
      </c>
      <c r="C6" s="17">
        <f>SUM(C7:C19)</f>
        <v>52200</v>
      </c>
      <c r="D6" s="17">
        <f>SUM(D7:D19)</f>
        <v>50788</v>
      </c>
      <c r="E6" s="18">
        <f t="shared" si="0"/>
        <v>0.972950191570881</v>
      </c>
      <c r="F6" s="1" t="s">
        <v>228</v>
      </c>
      <c r="G6" s="23">
        <v>18151</v>
      </c>
      <c r="H6" s="23">
        <v>25307</v>
      </c>
      <c r="I6" s="23">
        <v>24907</v>
      </c>
      <c r="J6" s="60">
        <f t="shared" si="1"/>
        <v>0.984194096495041</v>
      </c>
      <c r="K6" s="42" t="s">
        <v>331</v>
      </c>
      <c r="L6" s="23">
        <v>110</v>
      </c>
      <c r="M6" s="23">
        <v>110</v>
      </c>
      <c r="N6" s="23">
        <v>106</v>
      </c>
      <c r="O6" s="18">
        <f t="shared" si="2"/>
        <v>0.963636363636364</v>
      </c>
    </row>
    <row r="7" ht="17.25" customHeight="1" spans="1:15">
      <c r="A7" s="1" t="s">
        <v>441</v>
      </c>
      <c r="B7" s="24">
        <v>9805</v>
      </c>
      <c r="C7" s="24">
        <v>10043</v>
      </c>
      <c r="D7" s="24">
        <v>10213</v>
      </c>
      <c r="E7" s="5">
        <f t="shared" si="0"/>
        <v>1.01692721298417</v>
      </c>
      <c r="F7" s="1" t="s">
        <v>442</v>
      </c>
      <c r="G7" s="23">
        <v>6155</v>
      </c>
      <c r="H7" s="23">
        <v>5490</v>
      </c>
      <c r="I7" s="23">
        <v>5483</v>
      </c>
      <c r="J7" s="60">
        <f t="shared" si="1"/>
        <v>0.998724954462659</v>
      </c>
      <c r="K7" s="42" t="s">
        <v>296</v>
      </c>
      <c r="L7" s="23">
        <v>18560</v>
      </c>
      <c r="M7" s="23">
        <v>38560</v>
      </c>
      <c r="N7" s="23">
        <v>36008</v>
      </c>
      <c r="O7" s="5">
        <f t="shared" si="2"/>
        <v>0.933817427385892</v>
      </c>
    </row>
    <row r="8" ht="17.25" customHeight="1" spans="1:15">
      <c r="A8" s="1" t="s">
        <v>301</v>
      </c>
      <c r="B8" s="24">
        <v>17035</v>
      </c>
      <c r="C8" s="24">
        <v>15130</v>
      </c>
      <c r="D8" s="24">
        <v>15005</v>
      </c>
      <c r="E8" s="5">
        <f t="shared" si="0"/>
        <v>0.991738268341044</v>
      </c>
      <c r="F8" s="1" t="s">
        <v>457</v>
      </c>
      <c r="G8" s="23">
        <v>785</v>
      </c>
      <c r="H8" s="23">
        <v>1191</v>
      </c>
      <c r="I8" s="23">
        <v>1191</v>
      </c>
      <c r="J8" s="60">
        <f t="shared" si="1"/>
        <v>1</v>
      </c>
      <c r="K8" s="42" t="s">
        <v>444</v>
      </c>
      <c r="L8" s="23">
        <v>600</v>
      </c>
      <c r="M8" s="23">
        <v>600</v>
      </c>
      <c r="N8" s="23">
        <v>657</v>
      </c>
      <c r="O8" s="5">
        <f t="shared" si="2"/>
        <v>1.095</v>
      </c>
    </row>
    <row r="9" ht="17.25" customHeight="1" spans="1:15">
      <c r="A9" s="1" t="s">
        <v>30</v>
      </c>
      <c r="B9" s="24">
        <v>5110</v>
      </c>
      <c r="C9" s="24">
        <v>7080</v>
      </c>
      <c r="D9" s="24">
        <v>8164</v>
      </c>
      <c r="E9" s="5">
        <f t="shared" si="0"/>
        <v>1.15310734463277</v>
      </c>
      <c r="F9" s="1" t="s">
        <v>445</v>
      </c>
      <c r="G9" s="23">
        <v>85</v>
      </c>
      <c r="H9" s="23">
        <v>73</v>
      </c>
      <c r="I9" s="23">
        <v>73</v>
      </c>
      <c r="J9" s="60">
        <f t="shared" si="1"/>
        <v>1</v>
      </c>
      <c r="K9" s="42" t="s">
        <v>446</v>
      </c>
      <c r="L9" s="23">
        <v>1400</v>
      </c>
      <c r="M9" s="23">
        <v>1400</v>
      </c>
      <c r="N9" s="23">
        <v>1496</v>
      </c>
      <c r="O9" s="5">
        <f t="shared" si="2"/>
        <v>1.06857142857143</v>
      </c>
    </row>
    <row r="10" ht="17.25" customHeight="1" spans="1:15">
      <c r="A10" s="1" t="s">
        <v>33</v>
      </c>
      <c r="B10" s="24">
        <v>3660</v>
      </c>
      <c r="C10" s="24">
        <v>3402</v>
      </c>
      <c r="D10" s="24">
        <v>3658</v>
      </c>
      <c r="E10" s="5">
        <f t="shared" si="0"/>
        <v>1.07524985302763</v>
      </c>
      <c r="F10" s="1" t="s">
        <v>447</v>
      </c>
      <c r="G10" s="23">
        <v>367</v>
      </c>
      <c r="H10" s="23">
        <v>526</v>
      </c>
      <c r="I10" s="23">
        <v>473</v>
      </c>
      <c r="J10" s="60">
        <f t="shared" si="1"/>
        <v>0.899239543726236</v>
      </c>
      <c r="K10" s="42" t="s">
        <v>448</v>
      </c>
      <c r="L10" s="23">
        <v>40</v>
      </c>
      <c r="M10" s="23">
        <v>40</v>
      </c>
      <c r="N10" s="23">
        <v>45</v>
      </c>
      <c r="O10" s="5">
        <f t="shared" si="2"/>
        <v>1.125</v>
      </c>
    </row>
    <row r="11" ht="17.25" customHeight="1" spans="1:15">
      <c r="A11" s="1" t="s">
        <v>36</v>
      </c>
      <c r="B11" s="56">
        <v>1800</v>
      </c>
      <c r="C11" s="56">
        <v>2200</v>
      </c>
      <c r="D11" s="24">
        <v>1902</v>
      </c>
      <c r="E11" s="5">
        <f t="shared" si="0"/>
        <v>0.864545454545455</v>
      </c>
      <c r="F11" s="1" t="s">
        <v>229</v>
      </c>
      <c r="G11" s="23">
        <v>250</v>
      </c>
      <c r="H11" s="23">
        <v>294</v>
      </c>
      <c r="I11" s="23">
        <v>294</v>
      </c>
      <c r="J11" s="60">
        <f t="shared" si="1"/>
        <v>1</v>
      </c>
      <c r="K11" s="42" t="s">
        <v>449</v>
      </c>
      <c r="L11" s="23">
        <v>550</v>
      </c>
      <c r="M11" s="23">
        <v>750</v>
      </c>
      <c r="N11" s="23">
        <v>763</v>
      </c>
      <c r="O11" s="5">
        <f t="shared" si="2"/>
        <v>1.01733333333333</v>
      </c>
    </row>
    <row r="12" ht="17.25" customHeight="1" spans="1:15">
      <c r="A12" s="1" t="s">
        <v>39</v>
      </c>
      <c r="B12" s="56">
        <v>2000</v>
      </c>
      <c r="C12" s="56">
        <v>3100</v>
      </c>
      <c r="D12" s="24">
        <v>2816</v>
      </c>
      <c r="E12" s="5">
        <f t="shared" si="0"/>
        <v>0.908387096774194</v>
      </c>
      <c r="F12" s="1" t="s">
        <v>231</v>
      </c>
      <c r="G12" s="23">
        <v>6420</v>
      </c>
      <c r="H12" s="23">
        <v>7728</v>
      </c>
      <c r="I12" s="23">
        <v>7301</v>
      </c>
      <c r="J12" s="60">
        <f t="shared" si="1"/>
        <v>0.944746376811594</v>
      </c>
      <c r="K12" s="42" t="s">
        <v>450</v>
      </c>
      <c r="L12" s="23">
        <v>400</v>
      </c>
      <c r="M12" s="23">
        <v>300</v>
      </c>
      <c r="N12" s="23">
        <v>282</v>
      </c>
      <c r="O12" s="18">
        <f t="shared" si="2"/>
        <v>0.94</v>
      </c>
    </row>
    <row r="13" ht="17.25" customHeight="1" spans="1:15">
      <c r="A13" s="1" t="s">
        <v>42</v>
      </c>
      <c r="B13" s="56">
        <v>1200</v>
      </c>
      <c r="C13" s="56">
        <v>1800</v>
      </c>
      <c r="D13" s="24">
        <v>1447</v>
      </c>
      <c r="E13" s="5">
        <f t="shared" si="0"/>
        <v>0.803888888888889</v>
      </c>
      <c r="F13" s="1" t="s">
        <v>233</v>
      </c>
      <c r="G13" s="23">
        <v>38851</v>
      </c>
      <c r="H13" s="23">
        <v>45134</v>
      </c>
      <c r="I13" s="23">
        <v>44840</v>
      </c>
      <c r="J13" s="60">
        <f t="shared" si="1"/>
        <v>0.993486063721363</v>
      </c>
      <c r="K13" s="42" t="s">
        <v>451</v>
      </c>
      <c r="L13" s="23">
        <v>300</v>
      </c>
      <c r="M13" s="23">
        <v>300</v>
      </c>
      <c r="N13" s="23">
        <v>327</v>
      </c>
      <c r="O13" s="18">
        <f t="shared" si="2"/>
        <v>1.09</v>
      </c>
    </row>
    <row r="14" ht="17.25" customHeight="1" spans="1:15">
      <c r="A14" s="1" t="s">
        <v>45</v>
      </c>
      <c r="B14" s="56">
        <v>640</v>
      </c>
      <c r="C14" s="56">
        <v>600</v>
      </c>
      <c r="D14" s="24">
        <v>597</v>
      </c>
      <c r="E14" s="5">
        <f t="shared" si="0"/>
        <v>0.995</v>
      </c>
      <c r="F14" s="1" t="s">
        <v>235</v>
      </c>
      <c r="G14" s="23">
        <v>1400</v>
      </c>
      <c r="H14" s="23">
        <v>1678</v>
      </c>
      <c r="I14" s="23">
        <v>1637</v>
      </c>
      <c r="J14" s="60">
        <f t="shared" si="1"/>
        <v>0.975566150178784</v>
      </c>
      <c r="K14" s="42"/>
      <c r="L14" s="23"/>
      <c r="M14" s="23"/>
      <c r="N14" s="23"/>
      <c r="O14" s="18"/>
    </row>
    <row r="15" ht="17.25" customHeight="1" spans="1:15">
      <c r="A15" s="1" t="s">
        <v>47</v>
      </c>
      <c r="B15" s="56">
        <v>1800</v>
      </c>
      <c r="C15" s="56">
        <v>2100</v>
      </c>
      <c r="D15" s="24">
        <v>1601</v>
      </c>
      <c r="E15" s="5">
        <f t="shared" si="0"/>
        <v>0.762380952380952</v>
      </c>
      <c r="F15" s="1" t="s">
        <v>237</v>
      </c>
      <c r="G15" s="23">
        <v>1290</v>
      </c>
      <c r="H15" s="23">
        <v>1622</v>
      </c>
      <c r="I15" s="23">
        <v>1550</v>
      </c>
      <c r="J15" s="60">
        <f t="shared" si="1"/>
        <v>0.955610357583231</v>
      </c>
      <c r="K15" s="21" t="s">
        <v>32</v>
      </c>
      <c r="L15" s="23"/>
      <c r="M15" s="23"/>
      <c r="N15" s="20">
        <v>8907</v>
      </c>
      <c r="O15" s="4"/>
    </row>
    <row r="16" ht="17.25" customHeight="1" spans="1:15">
      <c r="A16" s="1" t="s">
        <v>50</v>
      </c>
      <c r="B16" s="56">
        <v>1300</v>
      </c>
      <c r="C16" s="56">
        <v>1800</v>
      </c>
      <c r="D16" s="24">
        <v>1568</v>
      </c>
      <c r="E16" s="5">
        <f t="shared" si="0"/>
        <v>0.871111111111111</v>
      </c>
      <c r="F16" s="1" t="s">
        <v>239</v>
      </c>
      <c r="G16" s="23">
        <v>3055</v>
      </c>
      <c r="H16" s="23">
        <v>9302</v>
      </c>
      <c r="I16" s="23">
        <v>8759</v>
      </c>
      <c r="J16" s="60">
        <f t="shared" si="1"/>
        <v>0.941625456890991</v>
      </c>
      <c r="K16" s="21" t="s">
        <v>35</v>
      </c>
      <c r="L16" s="20"/>
      <c r="M16" s="20"/>
      <c r="N16" s="20">
        <v>2996</v>
      </c>
      <c r="O16" s="45"/>
    </row>
    <row r="17" ht="17.25" customHeight="1" spans="1:15">
      <c r="A17" s="1" t="s">
        <v>53</v>
      </c>
      <c r="B17" s="56">
        <v>500</v>
      </c>
      <c r="C17" s="56">
        <v>645</v>
      </c>
      <c r="D17" s="24">
        <v>627</v>
      </c>
      <c r="E17" s="5">
        <f t="shared" si="0"/>
        <v>0.972093023255814</v>
      </c>
      <c r="F17" s="1" t="s">
        <v>273</v>
      </c>
      <c r="G17" s="23">
        <v>5709</v>
      </c>
      <c r="H17" s="23">
        <v>17175</v>
      </c>
      <c r="I17" s="23">
        <v>16163</v>
      </c>
      <c r="J17" s="61">
        <f t="shared" si="1"/>
        <v>0.941077147016012</v>
      </c>
      <c r="K17" s="46" t="s">
        <v>41</v>
      </c>
      <c r="L17" s="20">
        <f>SUM(L16,L15,L5)</f>
        <v>21960</v>
      </c>
      <c r="M17" s="20">
        <f>SUM(M16,M15,M5)</f>
        <v>42060</v>
      </c>
      <c r="N17" s="20">
        <f>SUM(N16,N15,N5)</f>
        <v>51587</v>
      </c>
      <c r="O17" s="4"/>
    </row>
    <row r="18" ht="17.25" customHeight="1" spans="1:15">
      <c r="A18" s="1" t="s">
        <v>247</v>
      </c>
      <c r="B18" s="24">
        <v>2500</v>
      </c>
      <c r="C18" s="24">
        <v>2300</v>
      </c>
      <c r="D18" s="24">
        <v>2000</v>
      </c>
      <c r="E18" s="5">
        <f t="shared" si="0"/>
        <v>0.869565217391304</v>
      </c>
      <c r="F18" s="1" t="s">
        <v>241</v>
      </c>
      <c r="G18" s="23">
        <v>454</v>
      </c>
      <c r="H18" s="23">
        <v>1107</v>
      </c>
      <c r="I18" s="23">
        <v>761</v>
      </c>
      <c r="J18" s="60">
        <f t="shared" si="1"/>
        <v>0.687443541102078</v>
      </c>
      <c r="K18" s="49" t="s">
        <v>306</v>
      </c>
      <c r="L18" s="49"/>
      <c r="M18" s="49"/>
      <c r="N18" s="49"/>
      <c r="O18" s="49"/>
    </row>
    <row r="19" ht="17.25" customHeight="1" spans="1:15">
      <c r="A19" s="1" t="s">
        <v>250</v>
      </c>
      <c r="B19" s="24">
        <v>2200</v>
      </c>
      <c r="C19" s="24">
        <v>2000</v>
      </c>
      <c r="D19" s="24">
        <v>1190</v>
      </c>
      <c r="E19" s="5">
        <f t="shared" si="0"/>
        <v>0.595</v>
      </c>
      <c r="F19" s="1" t="s">
        <v>274</v>
      </c>
      <c r="G19" s="23">
        <v>1611</v>
      </c>
      <c r="H19" s="23">
        <v>2168</v>
      </c>
      <c r="I19" s="23">
        <v>2073</v>
      </c>
      <c r="J19" s="60">
        <f t="shared" si="1"/>
        <v>0.956180811808118</v>
      </c>
      <c r="K19" s="15" t="s">
        <v>6</v>
      </c>
      <c r="L19" s="15" t="s">
        <v>455</v>
      </c>
      <c r="M19" s="15" t="s">
        <v>456</v>
      </c>
      <c r="N19" s="15" t="s">
        <v>131</v>
      </c>
      <c r="O19" s="15" t="s">
        <v>132</v>
      </c>
    </row>
    <row r="20" ht="17.25" customHeight="1" spans="1:15">
      <c r="A20" s="21" t="s">
        <v>68</v>
      </c>
      <c r="B20" s="17">
        <f>SUM(B21,B26:B29)</f>
        <v>25800</v>
      </c>
      <c r="C20" s="17">
        <f>SUM(C21,C26:C29)</f>
        <v>28800</v>
      </c>
      <c r="D20" s="17">
        <f>SUM(D21,D26:D29)</f>
        <v>30228</v>
      </c>
      <c r="E20" s="18">
        <f t="shared" si="0"/>
        <v>1.04958333333333</v>
      </c>
      <c r="F20" s="1" t="s">
        <v>275</v>
      </c>
      <c r="G20" s="23">
        <v>6948</v>
      </c>
      <c r="H20" s="23">
        <v>19823</v>
      </c>
      <c r="I20" s="23">
        <v>17921</v>
      </c>
      <c r="J20" s="60">
        <f t="shared" si="1"/>
        <v>0.904050850022701</v>
      </c>
      <c r="K20" s="16" t="s">
        <v>144</v>
      </c>
      <c r="L20" s="17">
        <f>SUM(L21:L39)</f>
        <v>21960</v>
      </c>
      <c r="M20" s="17">
        <f>SUM(M21:M39)</f>
        <v>51434</v>
      </c>
      <c r="N20" s="17">
        <f>SUM(N21:N39)</f>
        <v>46347</v>
      </c>
      <c r="O20" s="18">
        <f t="shared" ref="O20:O39" si="3">N20/M20</f>
        <v>0.901096550919625</v>
      </c>
    </row>
    <row r="21" ht="17.25" customHeight="1" spans="1:15">
      <c r="A21" s="21" t="s">
        <v>71</v>
      </c>
      <c r="B21" s="17">
        <f>SUM(B22:B25)</f>
        <v>1380</v>
      </c>
      <c r="C21" s="17">
        <f>SUM(C22:C25)</f>
        <v>1470</v>
      </c>
      <c r="D21" s="17">
        <f>SUM(D22:D25)</f>
        <v>1741</v>
      </c>
      <c r="E21" s="18">
        <f t="shared" si="0"/>
        <v>1.1843537414966</v>
      </c>
      <c r="F21" s="1" t="s">
        <v>244</v>
      </c>
      <c r="G21" s="23">
        <v>1073</v>
      </c>
      <c r="H21" s="23">
        <v>4414</v>
      </c>
      <c r="I21" s="23">
        <v>2372</v>
      </c>
      <c r="J21" s="60">
        <f t="shared" si="1"/>
        <v>0.5373810602628</v>
      </c>
      <c r="K21" s="42" t="s">
        <v>341</v>
      </c>
      <c r="L21" s="23"/>
      <c r="M21" s="23">
        <v>2836</v>
      </c>
      <c r="N21" s="23">
        <v>2655</v>
      </c>
      <c r="O21" s="18">
        <f t="shared" si="3"/>
        <v>0.936177715091678</v>
      </c>
    </row>
    <row r="22" ht="17.25" customHeight="1" spans="1:15">
      <c r="A22" s="1" t="s">
        <v>398</v>
      </c>
      <c r="B22" s="24">
        <v>115</v>
      </c>
      <c r="C22" s="24">
        <v>115</v>
      </c>
      <c r="D22" s="24">
        <v>131</v>
      </c>
      <c r="E22" s="5">
        <f t="shared" si="0"/>
        <v>1.13913043478261</v>
      </c>
      <c r="F22" s="1" t="s">
        <v>276</v>
      </c>
      <c r="G22" s="23">
        <v>1825</v>
      </c>
      <c r="H22" s="23">
        <v>1313</v>
      </c>
      <c r="I22" s="23">
        <v>1134</v>
      </c>
      <c r="J22" s="60">
        <f t="shared" si="1"/>
        <v>0.863670982482864</v>
      </c>
      <c r="K22" s="42" t="s">
        <v>342</v>
      </c>
      <c r="L22" s="23"/>
      <c r="M22" s="23">
        <v>56</v>
      </c>
      <c r="N22" s="23">
        <v>56</v>
      </c>
      <c r="O22" s="5">
        <f t="shared" si="3"/>
        <v>1</v>
      </c>
    </row>
    <row r="23" ht="17.25" customHeight="1" spans="1:15">
      <c r="A23" s="1" t="s">
        <v>310</v>
      </c>
      <c r="B23" s="24"/>
      <c r="C23" s="24">
        <v>90</v>
      </c>
      <c r="D23" s="24">
        <v>92</v>
      </c>
      <c r="E23" s="5">
        <f t="shared" si="0"/>
        <v>1.02222222222222</v>
      </c>
      <c r="F23" s="1" t="s">
        <v>277</v>
      </c>
      <c r="G23" s="23">
        <v>778</v>
      </c>
      <c r="H23" s="23">
        <v>2739</v>
      </c>
      <c r="I23" s="23">
        <v>2672</v>
      </c>
      <c r="J23" s="60">
        <f t="shared" si="1"/>
        <v>0.975538517707192</v>
      </c>
      <c r="K23" s="42" t="s">
        <v>430</v>
      </c>
      <c r="L23" s="23"/>
      <c r="M23" s="23">
        <v>377</v>
      </c>
      <c r="N23" s="23">
        <v>291</v>
      </c>
      <c r="O23" s="5">
        <f t="shared" si="3"/>
        <v>0.771883289124668</v>
      </c>
    </row>
    <row r="24" ht="17.25" customHeight="1" spans="1:15">
      <c r="A24" s="1" t="s">
        <v>312</v>
      </c>
      <c r="B24" s="24">
        <v>1200</v>
      </c>
      <c r="C24" s="24">
        <v>1200</v>
      </c>
      <c r="D24" s="24">
        <v>1411</v>
      </c>
      <c r="E24" s="5">
        <f t="shared" si="0"/>
        <v>1.17583333333333</v>
      </c>
      <c r="F24" s="1" t="s">
        <v>395</v>
      </c>
      <c r="G24" s="23"/>
      <c r="H24" s="23">
        <v>10</v>
      </c>
      <c r="I24" s="23">
        <v>10</v>
      </c>
      <c r="J24" s="60">
        <f t="shared" si="1"/>
        <v>1</v>
      </c>
      <c r="K24" s="42" t="s">
        <v>344</v>
      </c>
      <c r="L24" s="23">
        <v>110</v>
      </c>
      <c r="M24" s="23">
        <v>189</v>
      </c>
      <c r="N24" s="23">
        <v>189</v>
      </c>
      <c r="O24" s="5">
        <f t="shared" si="3"/>
        <v>1</v>
      </c>
    </row>
    <row r="25" ht="17.25" customHeight="1" spans="1:15">
      <c r="A25" s="25" t="s">
        <v>345</v>
      </c>
      <c r="B25" s="24">
        <v>65</v>
      </c>
      <c r="C25" s="24">
        <v>65</v>
      </c>
      <c r="D25" s="24">
        <v>107</v>
      </c>
      <c r="E25" s="5">
        <f t="shared" si="0"/>
        <v>1.64615384615385</v>
      </c>
      <c r="F25" s="1" t="s">
        <v>396</v>
      </c>
      <c r="G25" s="23">
        <v>622</v>
      </c>
      <c r="H25" s="23">
        <v>1133</v>
      </c>
      <c r="I25" s="23">
        <v>895</v>
      </c>
      <c r="J25" s="60">
        <f t="shared" si="1"/>
        <v>0.789938217122683</v>
      </c>
      <c r="K25" s="42" t="s">
        <v>346</v>
      </c>
      <c r="L25" s="23"/>
      <c r="M25" s="23">
        <v>251</v>
      </c>
      <c r="N25" s="23">
        <v>138</v>
      </c>
      <c r="O25" s="5">
        <f t="shared" si="3"/>
        <v>0.549800796812749</v>
      </c>
    </row>
    <row r="26" ht="17.25" customHeight="1" spans="1:15">
      <c r="A26" s="1" t="s">
        <v>77</v>
      </c>
      <c r="B26" s="24">
        <v>6500</v>
      </c>
      <c r="C26" s="24">
        <v>10000</v>
      </c>
      <c r="D26" s="24">
        <v>9791</v>
      </c>
      <c r="E26" s="5">
        <f t="shared" si="0"/>
        <v>0.9791</v>
      </c>
      <c r="F26" s="1" t="s">
        <v>63</v>
      </c>
      <c r="G26" s="23">
        <v>250</v>
      </c>
      <c r="H26" s="23">
        <v>4200</v>
      </c>
      <c r="I26" s="23">
        <v>4200</v>
      </c>
      <c r="J26" s="60">
        <f t="shared" si="1"/>
        <v>1</v>
      </c>
      <c r="K26" s="42" t="s">
        <v>347</v>
      </c>
      <c r="L26" s="23">
        <v>18560</v>
      </c>
      <c r="M26" s="23">
        <v>36536</v>
      </c>
      <c r="N26" s="23">
        <v>35392</v>
      </c>
      <c r="O26" s="5">
        <f t="shared" si="3"/>
        <v>0.968688416903876</v>
      </c>
    </row>
    <row r="27" ht="17.25" customHeight="1" spans="1:15">
      <c r="A27" s="1" t="s">
        <v>80</v>
      </c>
      <c r="B27" s="24">
        <v>1300</v>
      </c>
      <c r="C27" s="24">
        <v>1200</v>
      </c>
      <c r="D27" s="24">
        <v>1196</v>
      </c>
      <c r="E27" s="5">
        <f t="shared" si="0"/>
        <v>0.996666666666667</v>
      </c>
      <c r="F27" s="1" t="s">
        <v>397</v>
      </c>
      <c r="G27" s="23">
        <f>564+600</f>
        <v>1164</v>
      </c>
      <c r="H27" s="23">
        <f>574+541</f>
        <v>1115</v>
      </c>
      <c r="I27" s="23">
        <f>574+541</f>
        <v>1115</v>
      </c>
      <c r="J27" s="60">
        <f t="shared" si="1"/>
        <v>1</v>
      </c>
      <c r="K27" s="42" t="s">
        <v>348</v>
      </c>
      <c r="L27" s="23">
        <v>600</v>
      </c>
      <c r="M27" s="23">
        <v>1319</v>
      </c>
      <c r="N27" s="23">
        <v>924</v>
      </c>
      <c r="O27" s="5">
        <f t="shared" si="3"/>
        <v>0.700530705079606</v>
      </c>
    </row>
    <row r="28" ht="17.25" customHeight="1" spans="1:15">
      <c r="A28" s="1" t="s">
        <v>155</v>
      </c>
      <c r="B28" s="24">
        <v>6800</v>
      </c>
      <c r="C28" s="24">
        <v>10000</v>
      </c>
      <c r="D28" s="24">
        <v>9934</v>
      </c>
      <c r="E28" s="5">
        <f t="shared" si="0"/>
        <v>0.9934</v>
      </c>
      <c r="F28" s="1" t="s">
        <v>257</v>
      </c>
      <c r="G28" s="23">
        <v>3405</v>
      </c>
      <c r="H28" s="23">
        <v>4302</v>
      </c>
      <c r="I28" s="23">
        <v>2660</v>
      </c>
      <c r="J28" s="60">
        <f t="shared" si="1"/>
        <v>0.618317061831706</v>
      </c>
      <c r="K28" s="42" t="s">
        <v>401</v>
      </c>
      <c r="L28" s="23">
        <v>1400</v>
      </c>
      <c r="M28" s="23">
        <v>1550</v>
      </c>
      <c r="N28" s="23">
        <v>1549</v>
      </c>
      <c r="O28" s="5">
        <f t="shared" si="3"/>
        <v>0.999354838709677</v>
      </c>
    </row>
    <row r="29" ht="17.25" customHeight="1" spans="1:15">
      <c r="A29" s="1" t="s">
        <v>452</v>
      </c>
      <c r="B29" s="24">
        <v>9820</v>
      </c>
      <c r="C29" s="24">
        <f>200+5930</f>
        <v>6130</v>
      </c>
      <c r="D29" s="24">
        <v>7566</v>
      </c>
      <c r="E29" s="5">
        <f t="shared" si="0"/>
        <v>1.23425774877651</v>
      </c>
      <c r="F29" s="26" t="s">
        <v>78</v>
      </c>
      <c r="G29" s="27">
        <f>SUM(G30:G31)</f>
        <v>717</v>
      </c>
      <c r="H29" s="27">
        <f>SUM(H30:H31)</f>
        <v>717</v>
      </c>
      <c r="I29" s="27">
        <f>SUM(I30:I31)</f>
        <v>1411</v>
      </c>
      <c r="J29" s="5"/>
      <c r="K29" s="42" t="s">
        <v>402</v>
      </c>
      <c r="L29" s="23">
        <v>40</v>
      </c>
      <c r="M29" s="23">
        <v>137</v>
      </c>
      <c r="N29" s="23">
        <v>86</v>
      </c>
      <c r="O29" s="5">
        <f t="shared" si="3"/>
        <v>0.627737226277372</v>
      </c>
    </row>
    <row r="30" ht="17.25" customHeight="1" spans="1:15">
      <c r="A30" s="28" t="s">
        <v>94</v>
      </c>
      <c r="B30" s="17">
        <f>SUM(B31:B36)</f>
        <v>18623</v>
      </c>
      <c r="C30" s="17">
        <f>SUM(C31:C36)</f>
        <v>19712</v>
      </c>
      <c r="D30" s="17">
        <f>SUM(D31:D36)</f>
        <v>63160</v>
      </c>
      <c r="E30" s="5"/>
      <c r="F30" s="1" t="s">
        <v>81</v>
      </c>
      <c r="G30" s="4">
        <v>417</v>
      </c>
      <c r="H30" s="22">
        <v>417</v>
      </c>
      <c r="I30" s="23">
        <v>417</v>
      </c>
      <c r="J30" s="5"/>
      <c r="K30" s="42" t="s">
        <v>351</v>
      </c>
      <c r="L30" s="23"/>
      <c r="M30" s="23">
        <v>3786</v>
      </c>
      <c r="N30" s="23">
        <v>1691</v>
      </c>
      <c r="O30" s="5">
        <f t="shared" si="3"/>
        <v>0.446645536185948</v>
      </c>
    </row>
    <row r="31" ht="17.25" customHeight="1" spans="1:15">
      <c r="A31" s="29" t="s">
        <v>96</v>
      </c>
      <c r="B31" s="24">
        <f>1671+5247</f>
        <v>6918</v>
      </c>
      <c r="C31" s="24">
        <f>1671+5247</f>
        <v>6918</v>
      </c>
      <c r="D31" s="24">
        <f>1671+5247+659</f>
        <v>7577</v>
      </c>
      <c r="E31" s="5"/>
      <c r="F31" s="1" t="s">
        <v>84</v>
      </c>
      <c r="G31" s="57">
        <v>300</v>
      </c>
      <c r="H31" s="23">
        <v>300</v>
      </c>
      <c r="I31" s="23">
        <v>994</v>
      </c>
      <c r="J31" s="5"/>
      <c r="K31" s="42" t="s">
        <v>352</v>
      </c>
      <c r="L31" s="23">
        <v>550</v>
      </c>
      <c r="M31" s="23">
        <v>1243</v>
      </c>
      <c r="N31" s="23">
        <v>723</v>
      </c>
      <c r="O31" s="5">
        <f t="shared" si="3"/>
        <v>0.581657280772325</v>
      </c>
    </row>
    <row r="32" ht="17.25" customHeight="1" spans="1:15">
      <c r="A32" s="29" t="s">
        <v>99</v>
      </c>
      <c r="B32" s="24">
        <v>11705</v>
      </c>
      <c r="C32" s="24">
        <v>12794</v>
      </c>
      <c r="D32" s="24">
        <v>30525</v>
      </c>
      <c r="E32" s="5"/>
      <c r="F32" s="21" t="s">
        <v>453</v>
      </c>
      <c r="G32" s="45"/>
      <c r="H32" s="22"/>
      <c r="I32" s="20">
        <v>9300</v>
      </c>
      <c r="J32" s="5"/>
      <c r="K32" s="42" t="s">
        <v>403</v>
      </c>
      <c r="L32" s="23">
        <v>400</v>
      </c>
      <c r="M32" s="23">
        <v>303</v>
      </c>
      <c r="N32" s="23">
        <v>270</v>
      </c>
      <c r="O32" s="5">
        <f t="shared" si="3"/>
        <v>0.891089108910891</v>
      </c>
    </row>
    <row r="33" ht="17.25" customHeight="1" spans="1:15">
      <c r="A33" s="29" t="s">
        <v>102</v>
      </c>
      <c r="B33" s="24"/>
      <c r="C33" s="24"/>
      <c r="D33" s="24">
        <v>25058</v>
      </c>
      <c r="E33" s="5"/>
      <c r="F33" s="1" t="s">
        <v>100</v>
      </c>
      <c r="G33" s="4"/>
      <c r="H33" s="22"/>
      <c r="I33" s="23">
        <v>9300</v>
      </c>
      <c r="J33" s="5"/>
      <c r="K33" s="42" t="s">
        <v>404</v>
      </c>
      <c r="L33" s="23">
        <v>300</v>
      </c>
      <c r="M33" s="23">
        <v>368</v>
      </c>
      <c r="N33" s="23">
        <v>301</v>
      </c>
      <c r="O33" s="5">
        <f t="shared" si="3"/>
        <v>0.817934782608696</v>
      </c>
    </row>
    <row r="34" ht="17.25" customHeight="1" spans="1:15">
      <c r="A34" s="28"/>
      <c r="B34" s="17"/>
      <c r="C34" s="17"/>
      <c r="D34" s="17"/>
      <c r="E34" s="5"/>
      <c r="F34" s="21" t="s">
        <v>103</v>
      </c>
      <c r="G34" s="17">
        <f>SUM(G5,G29,G32)</f>
        <v>93973</v>
      </c>
      <c r="H34" s="17"/>
      <c r="I34" s="17">
        <f>SUM(I5,I29,I32)</f>
        <v>151975</v>
      </c>
      <c r="J34" s="4"/>
      <c r="K34" s="42" t="s">
        <v>405</v>
      </c>
      <c r="L34" s="23"/>
      <c r="M34" s="23">
        <v>40</v>
      </c>
      <c r="N34" s="23">
        <v>40</v>
      </c>
      <c r="O34" s="5">
        <f t="shared" si="3"/>
        <v>1</v>
      </c>
    </row>
    <row r="35" ht="17.25" customHeight="1" spans="1:15">
      <c r="A35" s="29"/>
      <c r="B35" s="24"/>
      <c r="C35" s="24"/>
      <c r="D35" s="24"/>
      <c r="E35" s="5"/>
      <c r="F35" s="30" t="s">
        <v>355</v>
      </c>
      <c r="G35" s="31"/>
      <c r="H35" s="31"/>
      <c r="I35" s="31"/>
      <c r="J35" s="48"/>
      <c r="K35" s="42" t="s">
        <v>406</v>
      </c>
      <c r="L35" s="23"/>
      <c r="M35" s="23">
        <v>334</v>
      </c>
      <c r="N35" s="23">
        <v>198</v>
      </c>
      <c r="O35" s="5">
        <f t="shared" si="3"/>
        <v>0.592814371257485</v>
      </c>
    </row>
    <row r="36" ht="17.25" customHeight="1" spans="1:15">
      <c r="A36" s="29"/>
      <c r="B36" s="24"/>
      <c r="C36" s="24"/>
      <c r="D36" s="24"/>
      <c r="E36" s="5"/>
      <c r="F36" s="15" t="s">
        <v>6</v>
      </c>
      <c r="G36" s="15" t="s">
        <v>455</v>
      </c>
      <c r="H36" s="15" t="s">
        <v>456</v>
      </c>
      <c r="I36" s="15" t="s">
        <v>131</v>
      </c>
      <c r="J36" s="15" t="s">
        <v>132</v>
      </c>
      <c r="K36" s="42" t="s">
        <v>408</v>
      </c>
      <c r="L36" s="23"/>
      <c r="M36" s="23">
        <v>46</v>
      </c>
      <c r="N36" s="23">
        <v>46</v>
      </c>
      <c r="O36" s="5">
        <f t="shared" si="3"/>
        <v>1</v>
      </c>
    </row>
    <row r="37" ht="17.25" customHeight="1" spans="1:15">
      <c r="A37" s="29"/>
      <c r="B37" s="24"/>
      <c r="C37" s="24"/>
      <c r="D37" s="24"/>
      <c r="E37" s="5"/>
      <c r="F37" s="21" t="s">
        <v>383</v>
      </c>
      <c r="G37" s="32">
        <f>B5</f>
        <v>75350</v>
      </c>
      <c r="H37" s="32">
        <f>C5</f>
        <v>81000</v>
      </c>
      <c r="I37" s="32">
        <f>D5</f>
        <v>81016</v>
      </c>
      <c r="J37" s="18">
        <f t="shared" ref="J37:J43" si="4">I37/H37</f>
        <v>1.0001975308642</v>
      </c>
      <c r="K37" s="42" t="s">
        <v>409</v>
      </c>
      <c r="L37" s="23"/>
      <c r="M37" s="23">
        <v>689</v>
      </c>
      <c r="N37" s="23">
        <v>689</v>
      </c>
      <c r="O37" s="5">
        <f t="shared" si="3"/>
        <v>1</v>
      </c>
    </row>
    <row r="38" ht="17.25" customHeight="1" spans="1:15">
      <c r="A38" s="1"/>
      <c r="B38" s="24"/>
      <c r="C38" s="24"/>
      <c r="D38" s="24"/>
      <c r="E38" s="4"/>
      <c r="F38" s="34" t="s">
        <v>359</v>
      </c>
      <c r="G38" s="32">
        <f>SUM(G39:G42)</f>
        <v>42750</v>
      </c>
      <c r="H38" s="32">
        <f>SUM(H39:H42)</f>
        <v>46000</v>
      </c>
      <c r="I38" s="32">
        <f>SUM(I39:I42)</f>
        <v>48539</v>
      </c>
      <c r="J38" s="18">
        <f t="shared" si="4"/>
        <v>1.05519565217391</v>
      </c>
      <c r="K38" s="42" t="s">
        <v>410</v>
      </c>
      <c r="L38" s="23"/>
      <c r="M38" s="23">
        <v>912</v>
      </c>
      <c r="N38" s="23">
        <v>647</v>
      </c>
      <c r="O38" s="5">
        <f t="shared" si="3"/>
        <v>0.709429824561403</v>
      </c>
    </row>
    <row r="39" ht="17.25" customHeight="1" spans="1:15">
      <c r="A39" s="29"/>
      <c r="B39" s="24"/>
      <c r="C39" s="4"/>
      <c r="D39" s="24"/>
      <c r="E39" s="4"/>
      <c r="F39" s="35" t="s">
        <v>361</v>
      </c>
      <c r="G39" s="24">
        <f>B7*3</f>
        <v>29415</v>
      </c>
      <c r="H39" s="24">
        <f>C7*3</f>
        <v>30129</v>
      </c>
      <c r="I39" s="24">
        <f>D7*3</f>
        <v>30639</v>
      </c>
      <c r="J39" s="5">
        <f t="shared" si="4"/>
        <v>1.01692721298417</v>
      </c>
      <c r="K39" s="42" t="s">
        <v>421</v>
      </c>
      <c r="L39" s="23"/>
      <c r="M39" s="23">
        <v>462</v>
      </c>
      <c r="N39" s="23">
        <v>462</v>
      </c>
      <c r="O39" s="5">
        <f t="shared" si="3"/>
        <v>1</v>
      </c>
    </row>
    <row r="40" ht="17.25" customHeight="1" spans="1:15">
      <c r="A40" s="33" t="s">
        <v>105</v>
      </c>
      <c r="B40" s="53"/>
      <c r="C40" s="17">
        <v>2028</v>
      </c>
      <c r="D40" s="17">
        <v>6799</v>
      </c>
      <c r="E40" s="45"/>
      <c r="F40" s="35" t="s">
        <v>117</v>
      </c>
      <c r="G40" s="24">
        <f t="shared" ref="G40:I41" si="5">B9*1.5</f>
        <v>7665</v>
      </c>
      <c r="H40" s="24">
        <f t="shared" si="5"/>
        <v>10620</v>
      </c>
      <c r="I40" s="24">
        <f t="shared" si="5"/>
        <v>12246</v>
      </c>
      <c r="J40" s="5">
        <f t="shared" si="4"/>
        <v>1.15310734463277</v>
      </c>
      <c r="K40" s="42"/>
      <c r="L40" s="23"/>
      <c r="M40" s="23"/>
      <c r="N40" s="23"/>
      <c r="O40" s="5"/>
    </row>
    <row r="41" ht="17.25" customHeight="1" spans="1:15">
      <c r="A41" s="33" t="s">
        <v>407</v>
      </c>
      <c r="B41" s="1"/>
      <c r="C41" s="17">
        <v>1000</v>
      </c>
      <c r="D41" s="17">
        <v>1000</v>
      </c>
      <c r="E41" s="1"/>
      <c r="F41" s="35" t="s">
        <v>118</v>
      </c>
      <c r="G41" s="24">
        <f t="shared" si="5"/>
        <v>5490</v>
      </c>
      <c r="H41" s="24">
        <f t="shared" si="5"/>
        <v>5103</v>
      </c>
      <c r="I41" s="24">
        <f t="shared" si="5"/>
        <v>5487</v>
      </c>
      <c r="J41" s="5">
        <f t="shared" si="4"/>
        <v>1.07524985302763</v>
      </c>
      <c r="K41" s="16" t="s">
        <v>412</v>
      </c>
      <c r="L41" s="23"/>
      <c r="M41" s="23"/>
      <c r="N41" s="20">
        <v>153</v>
      </c>
      <c r="O41" s="5"/>
    </row>
    <row r="42" ht="17.25" customHeight="1" spans="1:15">
      <c r="A42" s="1"/>
      <c r="B42" s="4"/>
      <c r="C42" s="4"/>
      <c r="D42" s="4"/>
      <c r="E42" s="5"/>
      <c r="F42" s="35" t="s">
        <v>314</v>
      </c>
      <c r="G42" s="24">
        <v>180</v>
      </c>
      <c r="H42" s="24">
        <v>148</v>
      </c>
      <c r="I42" s="24">
        <v>167</v>
      </c>
      <c r="J42" s="5">
        <f t="shared" si="4"/>
        <v>1.12837837837838</v>
      </c>
      <c r="K42" s="21" t="s">
        <v>268</v>
      </c>
      <c r="L42" s="23"/>
      <c r="M42" s="23"/>
      <c r="N42" s="20">
        <v>5087</v>
      </c>
      <c r="O42" s="4"/>
    </row>
    <row r="43" ht="17.25" customHeight="1" spans="1:15">
      <c r="A43" s="28" t="s">
        <v>124</v>
      </c>
      <c r="B43" s="17">
        <f>SUM(B5,B30,B40:B41)</f>
        <v>93973</v>
      </c>
      <c r="C43" s="17"/>
      <c r="D43" s="17">
        <f>SUM(D5,D30,D40:D41)</f>
        <v>151975</v>
      </c>
      <c r="E43" s="5"/>
      <c r="F43" s="36" t="s">
        <v>363</v>
      </c>
      <c r="G43" s="32">
        <f>SUM(G37:G38)</f>
        <v>118100</v>
      </c>
      <c r="H43" s="32">
        <f>SUM(H37:H38)</f>
        <v>127000</v>
      </c>
      <c r="I43" s="32">
        <f>SUM(I37:I38)</f>
        <v>129555</v>
      </c>
      <c r="J43" s="18">
        <f t="shared" si="4"/>
        <v>1.02011811023622</v>
      </c>
      <c r="K43" s="21" t="s">
        <v>91</v>
      </c>
      <c r="L43" s="20">
        <f>SUM(L20,L42:L42)</f>
        <v>21960</v>
      </c>
      <c r="M43" s="23"/>
      <c r="N43" s="20">
        <f>SUM(N20,N41:N42)</f>
        <v>51587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8:O18"/>
    <mergeCell ref="F35:J35"/>
  </mergeCells>
  <pageMargins left="0.393055555555556" right="0" top="0.786805555555556" bottom="0.196527777777778" header="0.511805555555556" footer="0.118055555555556"/>
  <pageSetup paperSize="9" scale="62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22" workbookViewId="0">
      <selection activeCell="K19" sqref="K19"/>
    </sheetView>
  </sheetViews>
  <sheetFormatPr defaultColWidth="9" defaultRowHeight="14.25"/>
  <cols>
    <col min="1" max="1" width="25.875" customWidth="1"/>
    <col min="2" max="2" width="10.625" customWidth="1"/>
    <col min="3" max="3" width="10.8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875" customWidth="1"/>
    <col min="11" max="11" width="35.875" customWidth="1"/>
    <col min="12" max="12" width="10.5" customWidth="1"/>
    <col min="13" max="13" width="10.875" customWidth="1"/>
    <col min="15" max="15" width="10.375" style="6" customWidth="1"/>
    <col min="17" max="17" width="14.375" customWidth="1"/>
  </cols>
  <sheetData>
    <row r="1" ht="33.75" spans="1:15">
      <c r="A1" s="7" t="s">
        <v>458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435</v>
      </c>
      <c r="N2" s="8"/>
      <c r="O2" s="39"/>
    </row>
    <row r="3" ht="18" customHeight="1" spans="1:15">
      <c r="A3" s="9" t="s">
        <v>436</v>
      </c>
      <c r="B3" s="10"/>
      <c r="C3" s="10"/>
      <c r="D3" s="10"/>
      <c r="E3" s="11"/>
      <c r="F3" s="12" t="s">
        <v>437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459</v>
      </c>
      <c r="C4" s="15" t="s">
        <v>460</v>
      </c>
      <c r="D4" s="15" t="s">
        <v>9</v>
      </c>
      <c r="E4" s="15" t="s">
        <v>10</v>
      </c>
      <c r="F4" s="15" t="s">
        <v>6</v>
      </c>
      <c r="G4" s="15" t="s">
        <v>459</v>
      </c>
      <c r="H4" s="15" t="s">
        <v>460</v>
      </c>
      <c r="I4" s="15" t="s">
        <v>11</v>
      </c>
      <c r="J4" s="15" t="s">
        <v>10</v>
      </c>
      <c r="K4" s="15" t="s">
        <v>6</v>
      </c>
      <c r="L4" s="15" t="s">
        <v>459</v>
      </c>
      <c r="M4" s="15" t="s">
        <v>460</v>
      </c>
      <c r="N4" s="15" t="s">
        <v>9</v>
      </c>
      <c r="O4" s="15" t="s">
        <v>10</v>
      </c>
    </row>
    <row r="5" ht="18" customHeight="1" spans="1:15">
      <c r="A5" s="16" t="s">
        <v>383</v>
      </c>
      <c r="B5" s="17">
        <f>SUM(B6,B20)</f>
        <v>53502</v>
      </c>
      <c r="C5" s="17">
        <f>SUM(C6,C20)</f>
        <v>65541</v>
      </c>
      <c r="D5" s="17">
        <f t="shared" ref="D5:D23" si="0">C5-B5</f>
        <v>12039</v>
      </c>
      <c r="E5" s="18">
        <f t="shared" ref="E5:E23" si="1">D5/B5</f>
        <v>0.225019625434563</v>
      </c>
      <c r="F5" s="16" t="s">
        <v>440</v>
      </c>
      <c r="G5" s="19">
        <f>SUM(G6,G11:G27)</f>
        <v>102565</v>
      </c>
      <c r="H5" s="20">
        <f>SUM(H6,H11:H27)</f>
        <v>121646</v>
      </c>
      <c r="I5" s="17">
        <f t="shared" ref="I5:I30" si="2">H5-G5</f>
        <v>19081</v>
      </c>
      <c r="J5" s="18">
        <f t="shared" ref="J5:J30" si="3">I5/G5</f>
        <v>0.186038122166431</v>
      </c>
      <c r="K5" s="16" t="s">
        <v>133</v>
      </c>
      <c r="L5" s="41">
        <f>SUM(L6,L12)</f>
        <v>11466</v>
      </c>
      <c r="M5" s="41">
        <f>SUM(M6,M12)</f>
        <v>45506</v>
      </c>
      <c r="N5" s="41">
        <f t="shared" ref="N5:N15" si="4">M5-L5</f>
        <v>34040</v>
      </c>
      <c r="O5" s="18">
        <f t="shared" ref="O5:O15" si="5">N5/L5</f>
        <v>2.96877725449154</v>
      </c>
    </row>
    <row r="6" ht="18" customHeight="1" spans="1:15">
      <c r="A6" s="21" t="s">
        <v>15</v>
      </c>
      <c r="B6" s="17">
        <f>SUM(B7:B19)</f>
        <v>33379</v>
      </c>
      <c r="C6" s="17">
        <f>SUM(C7:C19)</f>
        <v>42510</v>
      </c>
      <c r="D6" s="17">
        <f t="shared" si="0"/>
        <v>9131</v>
      </c>
      <c r="E6" s="18">
        <f t="shared" si="1"/>
        <v>0.27355522933581</v>
      </c>
      <c r="F6" s="1" t="s">
        <v>228</v>
      </c>
      <c r="G6" s="23">
        <v>15210</v>
      </c>
      <c r="H6" s="23">
        <v>19159</v>
      </c>
      <c r="I6" s="24">
        <f t="shared" si="2"/>
        <v>3949</v>
      </c>
      <c r="J6" s="5">
        <f t="shared" si="3"/>
        <v>0.259631821170283</v>
      </c>
      <c r="K6" s="16" t="s">
        <v>461</v>
      </c>
      <c r="L6" s="41">
        <f>SUM(L7:L11)</f>
        <v>10033</v>
      </c>
      <c r="M6" s="41">
        <f>SUM(M7:M11)</f>
        <v>45370</v>
      </c>
      <c r="N6" s="41">
        <f t="shared" si="4"/>
        <v>35337</v>
      </c>
      <c r="O6" s="18">
        <f t="shared" si="5"/>
        <v>3.52207714542011</v>
      </c>
    </row>
    <row r="7" ht="18" customHeight="1" spans="1:15">
      <c r="A7" s="1" t="s">
        <v>441</v>
      </c>
      <c r="B7" s="24">
        <v>6116</v>
      </c>
      <c r="C7" s="24">
        <v>7850</v>
      </c>
      <c r="D7" s="24">
        <f t="shared" si="0"/>
        <v>1734</v>
      </c>
      <c r="E7" s="5">
        <f t="shared" si="1"/>
        <v>0.283518639633748</v>
      </c>
      <c r="F7" s="1" t="s">
        <v>442</v>
      </c>
      <c r="G7" s="23">
        <v>4652</v>
      </c>
      <c r="H7" s="23">
        <v>4376</v>
      </c>
      <c r="I7" s="24">
        <f t="shared" si="2"/>
        <v>-276</v>
      </c>
      <c r="J7" s="5">
        <f t="shared" si="3"/>
        <v>-0.05932932072227</v>
      </c>
      <c r="K7" s="42" t="s">
        <v>331</v>
      </c>
      <c r="L7" s="43">
        <v>95</v>
      </c>
      <c r="M7" s="43">
        <v>101</v>
      </c>
      <c r="N7" s="43">
        <f t="shared" si="4"/>
        <v>6</v>
      </c>
      <c r="O7" s="5">
        <f t="shared" si="5"/>
        <v>0.0631578947368421</v>
      </c>
    </row>
    <row r="8" ht="18" customHeight="1" spans="1:15">
      <c r="A8" s="1" t="s">
        <v>301</v>
      </c>
      <c r="B8" s="24">
        <v>12619</v>
      </c>
      <c r="C8" s="24">
        <v>16351</v>
      </c>
      <c r="D8" s="24">
        <f t="shared" si="0"/>
        <v>3732</v>
      </c>
      <c r="E8" s="5">
        <f t="shared" si="1"/>
        <v>0.295744512243442</v>
      </c>
      <c r="F8" s="1" t="s">
        <v>443</v>
      </c>
      <c r="G8" s="23">
        <v>1981</v>
      </c>
      <c r="H8" s="23">
        <v>2333</v>
      </c>
      <c r="I8" s="24">
        <f t="shared" si="2"/>
        <v>352</v>
      </c>
      <c r="J8" s="5">
        <f t="shared" si="3"/>
        <v>0.17768803634528</v>
      </c>
      <c r="K8" s="42" t="s">
        <v>462</v>
      </c>
      <c r="L8" s="43">
        <v>9564</v>
      </c>
      <c r="M8" s="43">
        <v>44009</v>
      </c>
      <c r="N8" s="43">
        <f t="shared" si="4"/>
        <v>34445</v>
      </c>
      <c r="O8" s="5">
        <f t="shared" si="5"/>
        <v>3.60152655792555</v>
      </c>
    </row>
    <row r="9" ht="18" customHeight="1" spans="1:15">
      <c r="A9" s="1" t="s">
        <v>30</v>
      </c>
      <c r="B9" s="24">
        <v>3323</v>
      </c>
      <c r="C9" s="24">
        <v>4185</v>
      </c>
      <c r="D9" s="24">
        <f t="shared" si="0"/>
        <v>862</v>
      </c>
      <c r="E9" s="5">
        <f t="shared" si="1"/>
        <v>0.259404152873909</v>
      </c>
      <c r="F9" s="1" t="s">
        <v>445</v>
      </c>
      <c r="G9" s="23">
        <v>69</v>
      </c>
      <c r="H9" s="23">
        <v>72</v>
      </c>
      <c r="I9" s="24">
        <f t="shared" si="2"/>
        <v>3</v>
      </c>
      <c r="J9" s="5">
        <f t="shared" si="3"/>
        <v>0.0434782608695652</v>
      </c>
      <c r="K9" s="42" t="s">
        <v>444</v>
      </c>
      <c r="L9" s="43">
        <v>300</v>
      </c>
      <c r="M9" s="43">
        <v>844</v>
      </c>
      <c r="N9" s="43">
        <f t="shared" si="4"/>
        <v>544</v>
      </c>
      <c r="O9" s="5">
        <f t="shared" si="5"/>
        <v>1.81333333333333</v>
      </c>
    </row>
    <row r="10" ht="18" customHeight="1" spans="1:15">
      <c r="A10" s="1" t="s">
        <v>33</v>
      </c>
      <c r="B10" s="24">
        <v>2938</v>
      </c>
      <c r="C10" s="24">
        <v>3057</v>
      </c>
      <c r="D10" s="24">
        <f t="shared" si="0"/>
        <v>119</v>
      </c>
      <c r="E10" s="5">
        <f t="shared" si="1"/>
        <v>0.0405037440435671</v>
      </c>
      <c r="F10" s="1" t="s">
        <v>447</v>
      </c>
      <c r="G10" s="23">
        <v>379</v>
      </c>
      <c r="H10" s="23">
        <v>419</v>
      </c>
      <c r="I10" s="24">
        <f t="shared" si="2"/>
        <v>40</v>
      </c>
      <c r="J10" s="5">
        <f t="shared" si="3"/>
        <v>0.105540897097625</v>
      </c>
      <c r="K10" s="42" t="s">
        <v>463</v>
      </c>
      <c r="L10" s="43">
        <v>74</v>
      </c>
      <c r="M10" s="43">
        <v>52</v>
      </c>
      <c r="N10" s="43">
        <f t="shared" si="4"/>
        <v>-22</v>
      </c>
      <c r="O10" s="5">
        <f t="shared" si="5"/>
        <v>-0.297297297297297</v>
      </c>
    </row>
    <row r="11" ht="18" customHeight="1" spans="1:15">
      <c r="A11" s="1" t="s">
        <v>36</v>
      </c>
      <c r="B11" s="24">
        <v>1145</v>
      </c>
      <c r="C11" s="24">
        <v>1732</v>
      </c>
      <c r="D11" s="24">
        <f t="shared" si="0"/>
        <v>587</v>
      </c>
      <c r="E11" s="5">
        <f t="shared" si="1"/>
        <v>0.512663755458515</v>
      </c>
      <c r="F11" s="1" t="s">
        <v>229</v>
      </c>
      <c r="G11" s="23">
        <v>236</v>
      </c>
      <c r="H11" s="23">
        <v>215</v>
      </c>
      <c r="I11" s="24">
        <f t="shared" si="2"/>
        <v>-21</v>
      </c>
      <c r="J11" s="5">
        <f t="shared" si="3"/>
        <v>-0.0889830508474576</v>
      </c>
      <c r="K11" s="42" t="s">
        <v>464</v>
      </c>
      <c r="L11" s="43"/>
      <c r="M11" s="43">
        <v>364</v>
      </c>
      <c r="N11" s="43">
        <f t="shared" si="4"/>
        <v>364</v>
      </c>
      <c r="O11" s="5"/>
    </row>
    <row r="12" ht="18" customHeight="1" spans="1:15">
      <c r="A12" s="1" t="s">
        <v>39</v>
      </c>
      <c r="B12" s="24">
        <v>1437</v>
      </c>
      <c r="C12" s="24">
        <v>1932</v>
      </c>
      <c r="D12" s="24">
        <f t="shared" si="0"/>
        <v>495</v>
      </c>
      <c r="E12" s="5">
        <f t="shared" si="1"/>
        <v>0.34446764091858</v>
      </c>
      <c r="F12" s="1" t="s">
        <v>231</v>
      </c>
      <c r="G12" s="23">
        <v>5912</v>
      </c>
      <c r="H12" s="23">
        <v>7423</v>
      </c>
      <c r="I12" s="24">
        <f t="shared" si="2"/>
        <v>1511</v>
      </c>
      <c r="J12" s="5">
        <f t="shared" si="3"/>
        <v>0.255581867388363</v>
      </c>
      <c r="K12" s="16" t="s">
        <v>465</v>
      </c>
      <c r="L12" s="41">
        <v>1433</v>
      </c>
      <c r="M12" s="41">
        <v>136</v>
      </c>
      <c r="N12" s="41">
        <f t="shared" si="4"/>
        <v>-1297</v>
      </c>
      <c r="O12" s="18">
        <f t="shared" si="5"/>
        <v>-0.905094207955338</v>
      </c>
    </row>
    <row r="13" ht="18" customHeight="1" spans="1:15">
      <c r="A13" s="1" t="s">
        <v>42</v>
      </c>
      <c r="B13" s="24">
        <v>1089</v>
      </c>
      <c r="C13" s="24">
        <v>1176</v>
      </c>
      <c r="D13" s="24">
        <f t="shared" si="0"/>
        <v>87</v>
      </c>
      <c r="E13" s="5">
        <f t="shared" si="1"/>
        <v>0.0798898071625344</v>
      </c>
      <c r="F13" s="1" t="s">
        <v>233</v>
      </c>
      <c r="G13" s="23">
        <v>34255</v>
      </c>
      <c r="H13" s="23">
        <v>40193</v>
      </c>
      <c r="I13" s="24">
        <f t="shared" si="2"/>
        <v>5938</v>
      </c>
      <c r="J13" s="5">
        <f t="shared" si="3"/>
        <v>0.173346956648664</v>
      </c>
      <c r="K13" s="21" t="s">
        <v>32</v>
      </c>
      <c r="L13" s="43">
        <v>3077</v>
      </c>
      <c r="M13" s="44">
        <v>4871</v>
      </c>
      <c r="N13" s="41">
        <f t="shared" si="4"/>
        <v>1794</v>
      </c>
      <c r="O13" s="18">
        <f t="shared" si="5"/>
        <v>0.583035424114397</v>
      </c>
    </row>
    <row r="14" ht="18" customHeight="1" spans="1:15">
      <c r="A14" s="1" t="s">
        <v>45</v>
      </c>
      <c r="B14" s="24">
        <v>340</v>
      </c>
      <c r="C14" s="24">
        <v>553</v>
      </c>
      <c r="D14" s="24">
        <f t="shared" si="0"/>
        <v>213</v>
      </c>
      <c r="E14" s="5">
        <f t="shared" si="1"/>
        <v>0.626470588235294</v>
      </c>
      <c r="F14" s="1" t="s">
        <v>235</v>
      </c>
      <c r="G14" s="23">
        <v>1319</v>
      </c>
      <c r="H14" s="23">
        <v>2491</v>
      </c>
      <c r="I14" s="24">
        <f t="shared" si="2"/>
        <v>1172</v>
      </c>
      <c r="J14" s="5">
        <f t="shared" si="3"/>
        <v>0.88855193328279</v>
      </c>
      <c r="K14" s="21" t="s">
        <v>35</v>
      </c>
      <c r="L14" s="43">
        <v>2096</v>
      </c>
      <c r="M14" s="45">
        <v>2027</v>
      </c>
      <c r="N14" s="41">
        <f t="shared" si="4"/>
        <v>-69</v>
      </c>
      <c r="O14" s="18">
        <f t="shared" si="5"/>
        <v>-0.0329198473282443</v>
      </c>
    </row>
    <row r="15" ht="18" customHeight="1" spans="1:15">
      <c r="A15" s="1" t="s">
        <v>47</v>
      </c>
      <c r="B15" s="24">
        <v>1489</v>
      </c>
      <c r="C15" s="24">
        <v>1615</v>
      </c>
      <c r="D15" s="24">
        <f t="shared" si="0"/>
        <v>126</v>
      </c>
      <c r="E15" s="5">
        <f t="shared" si="1"/>
        <v>0.0846205507051713</v>
      </c>
      <c r="F15" s="1" t="s">
        <v>237</v>
      </c>
      <c r="G15" s="23">
        <v>1191</v>
      </c>
      <c r="H15" s="23">
        <v>1186</v>
      </c>
      <c r="I15" s="24">
        <f t="shared" si="2"/>
        <v>-5</v>
      </c>
      <c r="J15" s="5">
        <f t="shared" si="3"/>
        <v>-0.00419815281276238</v>
      </c>
      <c r="K15" s="46" t="s">
        <v>41</v>
      </c>
      <c r="L15" s="32">
        <f>SUM(L14,L13,L5)</f>
        <v>16639</v>
      </c>
      <c r="M15" s="32">
        <f>SUM(M14,M13,M5)</f>
        <v>52404</v>
      </c>
      <c r="N15" s="41">
        <f t="shared" si="4"/>
        <v>35765</v>
      </c>
      <c r="O15" s="18">
        <f t="shared" si="5"/>
        <v>2.14946811707434</v>
      </c>
    </row>
    <row r="16" ht="18" customHeight="1" spans="1:15">
      <c r="A16" s="1" t="s">
        <v>50</v>
      </c>
      <c r="B16" s="24">
        <v>1063</v>
      </c>
      <c r="C16" s="24">
        <v>1247</v>
      </c>
      <c r="D16" s="24">
        <f t="shared" si="0"/>
        <v>184</v>
      </c>
      <c r="E16" s="5">
        <f t="shared" si="1"/>
        <v>0.173095014111007</v>
      </c>
      <c r="F16" s="1" t="s">
        <v>239</v>
      </c>
      <c r="G16" s="23">
        <v>3981</v>
      </c>
      <c r="H16" s="23">
        <v>4902</v>
      </c>
      <c r="I16" s="24">
        <f t="shared" si="2"/>
        <v>921</v>
      </c>
      <c r="J16" s="5">
        <f t="shared" si="3"/>
        <v>0.231348907309721</v>
      </c>
      <c r="K16" s="12" t="s">
        <v>306</v>
      </c>
      <c r="L16" s="13"/>
      <c r="M16" s="13"/>
      <c r="N16" s="13"/>
      <c r="O16" s="40"/>
    </row>
    <row r="17" ht="18" customHeight="1" spans="1:15">
      <c r="A17" s="1" t="s">
        <v>53</v>
      </c>
      <c r="B17" s="24">
        <v>385</v>
      </c>
      <c r="C17" s="24">
        <v>462</v>
      </c>
      <c r="D17" s="24">
        <f t="shared" si="0"/>
        <v>77</v>
      </c>
      <c r="E17" s="5">
        <f t="shared" si="1"/>
        <v>0.2</v>
      </c>
      <c r="F17" s="1" t="s">
        <v>273</v>
      </c>
      <c r="G17" s="23">
        <v>11686</v>
      </c>
      <c r="H17" s="23">
        <v>11018</v>
      </c>
      <c r="I17" s="24">
        <f t="shared" si="2"/>
        <v>-668</v>
      </c>
      <c r="J17" s="5">
        <f t="shared" si="3"/>
        <v>-0.0571624165668321</v>
      </c>
      <c r="K17" s="15" t="s">
        <v>6</v>
      </c>
      <c r="L17" s="15" t="s">
        <v>459</v>
      </c>
      <c r="M17" s="15" t="s">
        <v>460</v>
      </c>
      <c r="N17" s="15" t="s">
        <v>11</v>
      </c>
      <c r="O17" s="15" t="s">
        <v>10</v>
      </c>
    </row>
    <row r="18" ht="18" customHeight="1" spans="1:15">
      <c r="A18" s="1" t="s">
        <v>247</v>
      </c>
      <c r="B18" s="24">
        <v>149</v>
      </c>
      <c r="C18" s="24">
        <v>190</v>
      </c>
      <c r="D18" s="24">
        <f t="shared" si="0"/>
        <v>41</v>
      </c>
      <c r="E18" s="5">
        <f t="shared" si="1"/>
        <v>0.275167785234899</v>
      </c>
      <c r="F18" s="1" t="s">
        <v>466</v>
      </c>
      <c r="G18" s="23">
        <v>2162</v>
      </c>
      <c r="H18" s="23">
        <v>3032</v>
      </c>
      <c r="I18" s="24">
        <f t="shared" si="2"/>
        <v>870</v>
      </c>
      <c r="J18" s="5">
        <f t="shared" si="3"/>
        <v>0.402405180388529</v>
      </c>
      <c r="K18" s="16" t="s">
        <v>144</v>
      </c>
      <c r="L18" s="17">
        <f>SUM(L19,L40)</f>
        <v>14493</v>
      </c>
      <c r="M18" s="17">
        <f>SUM(M19,M40)</f>
        <v>49406</v>
      </c>
      <c r="N18" s="41">
        <f t="shared" ref="N18:N42" si="6">M18-L18</f>
        <v>34913</v>
      </c>
      <c r="O18" s="18">
        <f t="shared" ref="O18:O24" si="7">N18/L18</f>
        <v>2.40895604774719</v>
      </c>
    </row>
    <row r="19" ht="18" customHeight="1" spans="1:15">
      <c r="A19" s="1" t="s">
        <v>250</v>
      </c>
      <c r="B19" s="24">
        <v>1286</v>
      </c>
      <c r="C19" s="24">
        <v>2160</v>
      </c>
      <c r="D19" s="24">
        <f t="shared" si="0"/>
        <v>874</v>
      </c>
      <c r="E19" s="5">
        <f t="shared" si="1"/>
        <v>0.679626749611198</v>
      </c>
      <c r="F19" s="1" t="s">
        <v>274</v>
      </c>
      <c r="G19" s="23">
        <v>4536</v>
      </c>
      <c r="H19" s="23">
        <v>2936</v>
      </c>
      <c r="I19" s="24">
        <f t="shared" si="2"/>
        <v>-1600</v>
      </c>
      <c r="J19" s="5">
        <f t="shared" si="3"/>
        <v>-0.352733686067019</v>
      </c>
      <c r="K19" s="16" t="s">
        <v>467</v>
      </c>
      <c r="L19" s="17">
        <f>SUM(L20:L39)</f>
        <v>13057</v>
      </c>
      <c r="M19" s="17">
        <f>SUM(M20:M39)</f>
        <v>49270</v>
      </c>
      <c r="N19" s="17">
        <f>SUM(N20:N39)</f>
        <v>36261</v>
      </c>
      <c r="O19" s="18">
        <f t="shared" si="7"/>
        <v>2.77713104082102</v>
      </c>
    </row>
    <row r="20" ht="18" customHeight="1" spans="1:15">
      <c r="A20" s="21" t="s">
        <v>68</v>
      </c>
      <c r="B20" s="17">
        <f>SUM(B21,B25:B28)</f>
        <v>20123</v>
      </c>
      <c r="C20" s="17">
        <f>SUM(C21,C25:C28)</f>
        <v>23031</v>
      </c>
      <c r="D20" s="17">
        <f>SUM(D21,D25:D28)</f>
        <v>2908</v>
      </c>
      <c r="E20" s="18">
        <f t="shared" si="1"/>
        <v>0.144511255776972</v>
      </c>
      <c r="F20" s="1" t="s">
        <v>275</v>
      </c>
      <c r="G20" s="23">
        <v>12113</v>
      </c>
      <c r="H20" s="23">
        <v>14023</v>
      </c>
      <c r="I20" s="24">
        <f t="shared" si="2"/>
        <v>1910</v>
      </c>
      <c r="J20" s="5">
        <f t="shared" si="3"/>
        <v>0.157681829439445</v>
      </c>
      <c r="K20" s="42" t="s">
        <v>468</v>
      </c>
      <c r="L20" s="43">
        <v>447</v>
      </c>
      <c r="M20" s="43">
        <v>172</v>
      </c>
      <c r="N20" s="43">
        <f t="shared" si="6"/>
        <v>-275</v>
      </c>
      <c r="O20" s="5">
        <f t="shared" si="7"/>
        <v>-0.615212527964206</v>
      </c>
    </row>
    <row r="21" ht="18" customHeight="1" spans="1:15">
      <c r="A21" s="21" t="s">
        <v>71</v>
      </c>
      <c r="B21" s="17">
        <f>SUM(B22:B24)</f>
        <v>790</v>
      </c>
      <c r="C21" s="17">
        <f>SUM(C22:C24)</f>
        <v>1173</v>
      </c>
      <c r="D21" s="17">
        <f>SUM(D22:D24)</f>
        <v>383</v>
      </c>
      <c r="E21" s="18">
        <f t="shared" si="1"/>
        <v>0.484810126582278</v>
      </c>
      <c r="F21" s="1" t="s">
        <v>244</v>
      </c>
      <c r="G21" s="23">
        <v>2658</v>
      </c>
      <c r="H21" s="23">
        <v>3447</v>
      </c>
      <c r="I21" s="24">
        <f t="shared" si="2"/>
        <v>789</v>
      </c>
      <c r="J21" s="5">
        <f t="shared" si="3"/>
        <v>0.296839729119639</v>
      </c>
      <c r="K21" s="42" t="s">
        <v>469</v>
      </c>
      <c r="L21" s="43">
        <v>137</v>
      </c>
      <c r="M21" s="43">
        <v>258</v>
      </c>
      <c r="N21" s="43">
        <f t="shared" si="6"/>
        <v>121</v>
      </c>
      <c r="O21" s="5">
        <f t="shared" si="7"/>
        <v>0.883211678832117</v>
      </c>
    </row>
    <row r="22" ht="18" customHeight="1" spans="1:15">
      <c r="A22" s="1" t="s">
        <v>398</v>
      </c>
      <c r="B22" s="24">
        <v>107</v>
      </c>
      <c r="C22" s="24">
        <v>113</v>
      </c>
      <c r="D22" s="24">
        <f t="shared" si="0"/>
        <v>6</v>
      </c>
      <c r="E22" s="5">
        <f t="shared" si="1"/>
        <v>0.0560747663551402</v>
      </c>
      <c r="F22" s="1" t="s">
        <v>276</v>
      </c>
      <c r="G22" s="23">
        <v>2065</v>
      </c>
      <c r="H22" s="23">
        <v>2190</v>
      </c>
      <c r="I22" s="24">
        <f t="shared" si="2"/>
        <v>125</v>
      </c>
      <c r="J22" s="5">
        <f t="shared" si="3"/>
        <v>0.0605326876513317</v>
      </c>
      <c r="K22" s="42" t="s">
        <v>470</v>
      </c>
      <c r="L22" s="43">
        <v>633</v>
      </c>
      <c r="M22" s="43">
        <v>662</v>
      </c>
      <c r="N22" s="43">
        <f t="shared" si="6"/>
        <v>29</v>
      </c>
      <c r="O22" s="5">
        <f t="shared" si="7"/>
        <v>0.0458135860979463</v>
      </c>
    </row>
    <row r="23" ht="18" customHeight="1" spans="1:15">
      <c r="A23" s="1" t="s">
        <v>312</v>
      </c>
      <c r="B23" s="24">
        <v>643</v>
      </c>
      <c r="C23" s="24">
        <v>997</v>
      </c>
      <c r="D23" s="24">
        <f t="shared" si="0"/>
        <v>354</v>
      </c>
      <c r="E23" s="5">
        <f t="shared" si="1"/>
        <v>0.55054432348367</v>
      </c>
      <c r="F23" s="1" t="s">
        <v>277</v>
      </c>
      <c r="G23" s="23">
        <v>1679</v>
      </c>
      <c r="H23" s="23">
        <v>3814</v>
      </c>
      <c r="I23" s="24">
        <f t="shared" si="2"/>
        <v>2135</v>
      </c>
      <c r="J23" s="5">
        <f t="shared" si="3"/>
        <v>1.27159023228112</v>
      </c>
      <c r="K23" s="42" t="s">
        <v>471</v>
      </c>
      <c r="L23" s="43">
        <v>23</v>
      </c>
      <c r="M23" s="43">
        <v>49</v>
      </c>
      <c r="N23" s="43">
        <f t="shared" si="6"/>
        <v>26</v>
      </c>
      <c r="O23" s="5">
        <f t="shared" si="7"/>
        <v>1.1304347826087</v>
      </c>
    </row>
    <row r="24" ht="18" customHeight="1" spans="1:15">
      <c r="A24" s="25" t="s">
        <v>345</v>
      </c>
      <c r="B24" s="4">
        <v>40</v>
      </c>
      <c r="C24" s="24">
        <v>63</v>
      </c>
      <c r="D24" s="24">
        <f t="shared" ref="D24:D32" si="8">C24-B24</f>
        <v>23</v>
      </c>
      <c r="E24" s="5">
        <f t="shared" ref="E24:E32" si="9">D24/B24</f>
        <v>0.575</v>
      </c>
      <c r="F24" s="1" t="s">
        <v>278</v>
      </c>
      <c r="G24" s="22">
        <v>805</v>
      </c>
      <c r="H24" s="23">
        <v>1861</v>
      </c>
      <c r="I24" s="24">
        <f t="shared" si="2"/>
        <v>1056</v>
      </c>
      <c r="J24" s="5">
        <f t="shared" si="3"/>
        <v>1.31180124223602</v>
      </c>
      <c r="K24" s="42" t="s">
        <v>472</v>
      </c>
      <c r="L24" s="43">
        <v>90</v>
      </c>
      <c r="M24" s="43">
        <v>135</v>
      </c>
      <c r="N24" s="43">
        <f t="shared" si="6"/>
        <v>45</v>
      </c>
      <c r="O24" s="5">
        <f t="shared" si="7"/>
        <v>0.5</v>
      </c>
    </row>
    <row r="25" ht="18" customHeight="1" spans="1:15">
      <c r="A25" s="1" t="s">
        <v>77</v>
      </c>
      <c r="B25" s="24">
        <v>2669</v>
      </c>
      <c r="C25" s="24">
        <v>5850</v>
      </c>
      <c r="D25" s="24">
        <f t="shared" si="8"/>
        <v>3181</v>
      </c>
      <c r="E25" s="5">
        <f t="shared" si="9"/>
        <v>1.19183214687149</v>
      </c>
      <c r="F25" s="1" t="s">
        <v>279</v>
      </c>
      <c r="G25" s="22">
        <v>951</v>
      </c>
      <c r="H25" s="23">
        <v>1252</v>
      </c>
      <c r="I25" s="24">
        <f t="shared" si="2"/>
        <v>301</v>
      </c>
      <c r="J25" s="5">
        <f t="shared" si="3"/>
        <v>0.316508937960042</v>
      </c>
      <c r="K25" s="42" t="s">
        <v>473</v>
      </c>
      <c r="L25" s="43"/>
      <c r="M25" s="43">
        <v>181</v>
      </c>
      <c r="N25" s="43">
        <f t="shared" si="6"/>
        <v>181</v>
      </c>
      <c r="O25" s="5"/>
    </row>
    <row r="26" ht="18" customHeight="1" spans="1:15">
      <c r="A26" s="1" t="s">
        <v>80</v>
      </c>
      <c r="B26" s="24">
        <v>1546</v>
      </c>
      <c r="C26" s="24">
        <v>1197</v>
      </c>
      <c r="D26" s="24">
        <f t="shared" si="8"/>
        <v>-349</v>
      </c>
      <c r="E26" s="5">
        <f t="shared" si="9"/>
        <v>-0.225743855109961</v>
      </c>
      <c r="F26" s="1" t="s">
        <v>281</v>
      </c>
      <c r="G26" s="22">
        <v>900</v>
      </c>
      <c r="H26" s="23">
        <v>842</v>
      </c>
      <c r="I26" s="24">
        <f t="shared" si="2"/>
        <v>-58</v>
      </c>
      <c r="J26" s="5">
        <f t="shared" si="3"/>
        <v>-0.0644444444444444</v>
      </c>
      <c r="K26" s="42" t="s">
        <v>474</v>
      </c>
      <c r="L26" s="43">
        <v>9890</v>
      </c>
      <c r="M26" s="43">
        <v>42316</v>
      </c>
      <c r="N26" s="43">
        <f t="shared" si="6"/>
        <v>32426</v>
      </c>
      <c r="O26" s="5">
        <f t="shared" ref="O26:O35" si="10">N26/L26</f>
        <v>3.27866531850354</v>
      </c>
    </row>
    <row r="27" ht="18" customHeight="1" spans="1:15">
      <c r="A27" s="1" t="s">
        <v>155</v>
      </c>
      <c r="B27" s="24">
        <v>5602</v>
      </c>
      <c r="C27" s="24">
        <v>5042</v>
      </c>
      <c r="D27" s="24">
        <f t="shared" si="8"/>
        <v>-560</v>
      </c>
      <c r="E27" s="5">
        <f t="shared" si="9"/>
        <v>-0.099964298464834</v>
      </c>
      <c r="F27" s="1" t="s">
        <v>475</v>
      </c>
      <c r="G27" s="22">
        <v>906</v>
      </c>
      <c r="H27" s="23">
        <v>1662</v>
      </c>
      <c r="I27" s="24">
        <f t="shared" si="2"/>
        <v>756</v>
      </c>
      <c r="J27" s="5">
        <f t="shared" si="3"/>
        <v>0.834437086092715</v>
      </c>
      <c r="K27" s="42" t="s">
        <v>476</v>
      </c>
      <c r="L27" s="43">
        <v>256</v>
      </c>
      <c r="M27" s="43">
        <v>502</v>
      </c>
      <c r="N27" s="43">
        <f t="shared" si="6"/>
        <v>246</v>
      </c>
      <c r="O27" s="5">
        <f t="shared" si="10"/>
        <v>0.9609375</v>
      </c>
    </row>
    <row r="28" ht="18" customHeight="1" spans="1:15">
      <c r="A28" s="1" t="s">
        <v>452</v>
      </c>
      <c r="B28" s="24">
        <f>19+9497</f>
        <v>9516</v>
      </c>
      <c r="C28" s="24">
        <v>9769</v>
      </c>
      <c r="D28" s="24">
        <f t="shared" si="8"/>
        <v>253</v>
      </c>
      <c r="E28" s="5">
        <f t="shared" si="9"/>
        <v>0.0265868011769651</v>
      </c>
      <c r="F28" s="26" t="s">
        <v>78</v>
      </c>
      <c r="G28" s="27">
        <f>SUM(G29:G31)</f>
        <v>1150</v>
      </c>
      <c r="H28" s="27">
        <f>SUM(H29:H31)</f>
        <v>1279</v>
      </c>
      <c r="I28" s="17">
        <f t="shared" si="2"/>
        <v>129</v>
      </c>
      <c r="J28" s="18">
        <f t="shared" si="3"/>
        <v>0.112173913043478</v>
      </c>
      <c r="K28" s="42" t="s">
        <v>477</v>
      </c>
      <c r="L28" s="43">
        <v>270</v>
      </c>
      <c r="M28" s="43">
        <v>1836</v>
      </c>
      <c r="N28" s="43">
        <f t="shared" si="6"/>
        <v>1566</v>
      </c>
      <c r="O28" s="5">
        <f t="shared" si="10"/>
        <v>5.8</v>
      </c>
    </row>
    <row r="29" ht="18" customHeight="1" spans="1:15">
      <c r="A29" s="28" t="s">
        <v>94</v>
      </c>
      <c r="B29" s="17">
        <f>SUM(B30:B34)</f>
        <v>45856</v>
      </c>
      <c r="C29" s="17">
        <f>SUM(C30:C34)</f>
        <v>53357</v>
      </c>
      <c r="D29" s="17">
        <f t="shared" si="8"/>
        <v>7501</v>
      </c>
      <c r="E29" s="18">
        <f t="shared" si="9"/>
        <v>0.163577285415213</v>
      </c>
      <c r="F29" s="1" t="s">
        <v>81</v>
      </c>
      <c r="G29" s="22">
        <v>417</v>
      </c>
      <c r="H29" s="23">
        <v>417</v>
      </c>
      <c r="I29" s="24">
        <f t="shared" si="2"/>
        <v>0</v>
      </c>
      <c r="J29" s="5">
        <f t="shared" si="3"/>
        <v>0</v>
      </c>
      <c r="K29" s="42" t="s">
        <v>478</v>
      </c>
      <c r="L29" s="43">
        <v>119</v>
      </c>
      <c r="M29" s="43">
        <v>127</v>
      </c>
      <c r="N29" s="43">
        <f t="shared" si="6"/>
        <v>8</v>
      </c>
      <c r="O29" s="5">
        <f t="shared" si="10"/>
        <v>0.0672268907563025</v>
      </c>
    </row>
    <row r="30" ht="18" customHeight="1" spans="1:15">
      <c r="A30" s="29" t="s">
        <v>96</v>
      </c>
      <c r="B30" s="24">
        <f>1671+5247+659</f>
        <v>7577</v>
      </c>
      <c r="C30" s="24">
        <f>1671+5247+659</f>
        <v>7577</v>
      </c>
      <c r="D30" s="24">
        <f t="shared" si="8"/>
        <v>0</v>
      </c>
      <c r="E30" s="5">
        <f t="shared" si="9"/>
        <v>0</v>
      </c>
      <c r="F30" s="1" t="s">
        <v>84</v>
      </c>
      <c r="G30" s="23">
        <v>733</v>
      </c>
      <c r="H30" s="23">
        <v>862</v>
      </c>
      <c r="I30" s="24">
        <f t="shared" si="2"/>
        <v>129</v>
      </c>
      <c r="J30" s="5">
        <f t="shared" si="3"/>
        <v>0.175989085948158</v>
      </c>
      <c r="K30" s="42" t="s">
        <v>479</v>
      </c>
      <c r="L30" s="43">
        <v>391</v>
      </c>
      <c r="M30" s="43">
        <v>892</v>
      </c>
      <c r="N30" s="43">
        <f t="shared" si="6"/>
        <v>501</v>
      </c>
      <c r="O30" s="5">
        <f t="shared" si="10"/>
        <v>1.28132992327366</v>
      </c>
    </row>
    <row r="31" ht="18" customHeight="1" spans="1:15">
      <c r="A31" s="29" t="s">
        <v>99</v>
      </c>
      <c r="B31" s="24">
        <v>13139</v>
      </c>
      <c r="C31" s="24">
        <v>14555</v>
      </c>
      <c r="D31" s="24">
        <f t="shared" si="8"/>
        <v>1416</v>
      </c>
      <c r="E31" s="5">
        <f t="shared" si="9"/>
        <v>0.107770758809651</v>
      </c>
      <c r="F31" s="1" t="s">
        <v>480</v>
      </c>
      <c r="H31" s="1"/>
      <c r="I31" s="24"/>
      <c r="J31" s="5"/>
      <c r="K31" s="42" t="s">
        <v>403</v>
      </c>
      <c r="L31" s="43">
        <v>70</v>
      </c>
      <c r="M31" s="43">
        <v>369</v>
      </c>
      <c r="N31" s="43">
        <f t="shared" si="6"/>
        <v>299</v>
      </c>
      <c r="O31" s="5">
        <f t="shared" si="10"/>
        <v>4.27142857142857</v>
      </c>
    </row>
    <row r="32" ht="18" customHeight="1" spans="1:15">
      <c r="A32" s="29" t="s">
        <v>102</v>
      </c>
      <c r="B32" s="24">
        <v>25140</v>
      </c>
      <c r="C32" s="24">
        <v>31225</v>
      </c>
      <c r="D32" s="24">
        <f t="shared" si="8"/>
        <v>6085</v>
      </c>
      <c r="E32" s="5">
        <f t="shared" si="9"/>
        <v>0.242044550517104</v>
      </c>
      <c r="F32" s="21" t="s">
        <v>453</v>
      </c>
      <c r="G32" s="20">
        <v>9376</v>
      </c>
      <c r="H32" s="20">
        <v>6799</v>
      </c>
      <c r="I32" s="17">
        <f>H32-G32</f>
        <v>-2577</v>
      </c>
      <c r="J32" s="18">
        <f>I32/G32</f>
        <v>-0.274850682593857</v>
      </c>
      <c r="K32" s="42" t="s">
        <v>481</v>
      </c>
      <c r="L32" s="43">
        <v>257</v>
      </c>
      <c r="M32" s="43">
        <v>264</v>
      </c>
      <c r="N32" s="43">
        <f t="shared" si="6"/>
        <v>7</v>
      </c>
      <c r="O32" s="5">
        <f t="shared" si="10"/>
        <v>0.0272373540856031</v>
      </c>
    </row>
    <row r="33" ht="18" customHeight="1" spans="1:15">
      <c r="A33" s="28"/>
      <c r="B33" s="17"/>
      <c r="C33" s="17"/>
      <c r="D33" s="17"/>
      <c r="E33" s="18"/>
      <c r="F33" s="1" t="s">
        <v>100</v>
      </c>
      <c r="G33" s="22">
        <v>9376</v>
      </c>
      <c r="H33" s="23">
        <v>6799</v>
      </c>
      <c r="I33" s="24">
        <f>H33-G33</f>
        <v>-2577</v>
      </c>
      <c r="J33" s="5">
        <f>I33/G33</f>
        <v>-0.274850682593857</v>
      </c>
      <c r="K33" s="42" t="s">
        <v>405</v>
      </c>
      <c r="L33" s="43">
        <v>40</v>
      </c>
      <c r="M33" s="43">
        <v>60</v>
      </c>
      <c r="N33" s="43">
        <f t="shared" si="6"/>
        <v>20</v>
      </c>
      <c r="O33" s="5">
        <f t="shared" si="10"/>
        <v>0.5</v>
      </c>
    </row>
    <row r="34" ht="18" customHeight="1" spans="1:15">
      <c r="A34" s="29"/>
      <c r="B34" s="24"/>
      <c r="C34" s="24"/>
      <c r="D34" s="24"/>
      <c r="E34" s="5"/>
      <c r="F34" s="21" t="s">
        <v>103</v>
      </c>
      <c r="G34" s="17">
        <f>SUM(G5,G28,G32)</f>
        <v>113091</v>
      </c>
      <c r="H34" s="17">
        <f>SUM(H5,H28,H32)</f>
        <v>129724</v>
      </c>
      <c r="I34" s="17">
        <f>H34-G34</f>
        <v>16633</v>
      </c>
      <c r="J34" s="18">
        <f>I34/G34</f>
        <v>0.14707624833099</v>
      </c>
      <c r="K34" s="42" t="s">
        <v>406</v>
      </c>
      <c r="L34" s="43">
        <v>99</v>
      </c>
      <c r="M34" s="43">
        <v>51</v>
      </c>
      <c r="N34" s="43"/>
      <c r="O34" s="5">
        <f t="shared" si="10"/>
        <v>0</v>
      </c>
    </row>
    <row r="35" ht="18" customHeight="1" spans="1:15">
      <c r="A35" s="1"/>
      <c r="B35" s="24"/>
      <c r="C35" s="24"/>
      <c r="D35" s="24"/>
      <c r="E35" s="18"/>
      <c r="F35" s="30" t="s">
        <v>355</v>
      </c>
      <c r="G35" s="31"/>
      <c r="H35" s="31"/>
      <c r="I35" s="31"/>
      <c r="J35" s="48"/>
      <c r="K35" s="42" t="s">
        <v>482</v>
      </c>
      <c r="L35" s="43">
        <v>332</v>
      </c>
      <c r="M35" s="43">
        <v>368</v>
      </c>
      <c r="N35" s="43">
        <f>M35-L35</f>
        <v>36</v>
      </c>
      <c r="O35" s="5">
        <f t="shared" si="10"/>
        <v>0.108433734939759</v>
      </c>
    </row>
    <row r="36" ht="18" customHeight="1" spans="1:15">
      <c r="A36" s="1"/>
      <c r="B36" s="24"/>
      <c r="C36" s="24"/>
      <c r="D36" s="24"/>
      <c r="E36" s="18"/>
      <c r="F36" s="15" t="s">
        <v>6</v>
      </c>
      <c r="G36" s="15" t="s">
        <v>459</v>
      </c>
      <c r="H36" s="15" t="s">
        <v>460</v>
      </c>
      <c r="I36" s="15" t="s">
        <v>9</v>
      </c>
      <c r="J36" s="15" t="s">
        <v>10</v>
      </c>
      <c r="K36" s="42" t="s">
        <v>483</v>
      </c>
      <c r="L36" s="43"/>
      <c r="M36" s="43">
        <v>300</v>
      </c>
      <c r="N36" s="43">
        <f>M36-L36</f>
        <v>300</v>
      </c>
      <c r="O36" s="5"/>
    </row>
    <row r="37" ht="18" customHeight="1" spans="1:15">
      <c r="A37" s="29"/>
      <c r="B37" s="4"/>
      <c r="C37" s="24"/>
      <c r="D37" s="24"/>
      <c r="E37" s="18"/>
      <c r="F37" s="21" t="s">
        <v>383</v>
      </c>
      <c r="G37" s="32">
        <f>B5</f>
        <v>53502</v>
      </c>
      <c r="H37" s="32">
        <f>C5</f>
        <v>65541</v>
      </c>
      <c r="I37" s="17">
        <f t="shared" ref="I37:I43" si="11">H37-G37</f>
        <v>12039</v>
      </c>
      <c r="J37" s="18">
        <f t="shared" ref="J37:J43" si="12">I37/G37</f>
        <v>0.225019625434563</v>
      </c>
      <c r="K37" s="42" t="s">
        <v>484</v>
      </c>
      <c r="L37" s="43"/>
      <c r="M37" s="43">
        <v>42</v>
      </c>
      <c r="N37" s="43">
        <f>M37-L37</f>
        <v>42</v>
      </c>
      <c r="O37" s="5"/>
    </row>
    <row r="38" ht="18" customHeight="1" spans="1:15">
      <c r="A38" s="33" t="s">
        <v>105</v>
      </c>
      <c r="B38" s="17">
        <v>10283</v>
      </c>
      <c r="C38" s="17">
        <v>9376</v>
      </c>
      <c r="D38" s="17">
        <f>C38-B38</f>
        <v>-907</v>
      </c>
      <c r="E38" s="18">
        <f>D38/B38</f>
        <v>-0.0882038315666634</v>
      </c>
      <c r="F38" s="34" t="s">
        <v>359</v>
      </c>
      <c r="G38" s="32">
        <f>SUM(G39:G42)</f>
        <v>27864</v>
      </c>
      <c r="H38" s="32">
        <f>SUM(H39:H42)</f>
        <v>34558.5</v>
      </c>
      <c r="I38" s="17">
        <f t="shared" si="11"/>
        <v>6694.5</v>
      </c>
      <c r="J38" s="18">
        <f t="shared" si="12"/>
        <v>0.24025624461671</v>
      </c>
      <c r="K38" s="42" t="s">
        <v>421</v>
      </c>
      <c r="L38" s="43"/>
      <c r="M38" s="43">
        <v>686</v>
      </c>
      <c r="N38" s="43">
        <f t="shared" si="6"/>
        <v>686</v>
      </c>
      <c r="O38" s="5"/>
    </row>
    <row r="39" ht="18" customHeight="1" spans="1:15">
      <c r="A39" s="33" t="s">
        <v>407</v>
      </c>
      <c r="B39" s="17">
        <v>3450</v>
      </c>
      <c r="C39" s="17">
        <v>1450</v>
      </c>
      <c r="D39" s="17">
        <f>C39-B39</f>
        <v>-2000</v>
      </c>
      <c r="E39" s="18"/>
      <c r="F39" s="35" t="s">
        <v>361</v>
      </c>
      <c r="G39" s="24">
        <v>18348</v>
      </c>
      <c r="H39" s="24">
        <f>C7*3</f>
        <v>23550</v>
      </c>
      <c r="I39" s="24">
        <f t="shared" si="11"/>
        <v>5202</v>
      </c>
      <c r="J39" s="5">
        <f t="shared" si="12"/>
        <v>0.283518639633748</v>
      </c>
      <c r="K39" s="42" t="s">
        <v>485</v>
      </c>
      <c r="L39" s="43">
        <v>3</v>
      </c>
      <c r="M39" s="43"/>
      <c r="N39" s="43">
        <f t="shared" si="6"/>
        <v>-3</v>
      </c>
      <c r="O39" s="5">
        <f>N39/L39</f>
        <v>-1</v>
      </c>
    </row>
    <row r="40" ht="18" customHeight="1" spans="1:15">
      <c r="A40" s="33"/>
      <c r="B40" s="17"/>
      <c r="C40" s="17"/>
      <c r="D40" s="17"/>
      <c r="E40" s="18"/>
      <c r="F40" s="35" t="s">
        <v>117</v>
      </c>
      <c r="G40" s="24">
        <v>4985</v>
      </c>
      <c r="H40" s="24">
        <v>6278</v>
      </c>
      <c r="I40" s="24">
        <f t="shared" si="11"/>
        <v>1293</v>
      </c>
      <c r="J40" s="5">
        <f t="shared" si="12"/>
        <v>0.25937813440321</v>
      </c>
      <c r="K40" s="59" t="s">
        <v>486</v>
      </c>
      <c r="L40" s="41">
        <v>1436</v>
      </c>
      <c r="M40" s="41">
        <v>136</v>
      </c>
      <c r="N40" s="41">
        <f t="shared" si="6"/>
        <v>-1300</v>
      </c>
      <c r="O40" s="18">
        <f>N40/L40</f>
        <v>-0.905292479108635</v>
      </c>
    </row>
    <row r="41" ht="18" customHeight="1" spans="1:15">
      <c r="A41" s="33"/>
      <c r="B41" s="17"/>
      <c r="C41" s="17"/>
      <c r="D41" s="17"/>
      <c r="E41" s="18"/>
      <c r="F41" s="35" t="s">
        <v>118</v>
      </c>
      <c r="G41" s="24">
        <v>4407</v>
      </c>
      <c r="H41" s="24">
        <f>C10*1.5</f>
        <v>4585.5</v>
      </c>
      <c r="I41" s="24">
        <f t="shared" si="11"/>
        <v>178.5</v>
      </c>
      <c r="J41" s="5">
        <f t="shared" si="12"/>
        <v>0.0405037440435671</v>
      </c>
      <c r="K41" s="16" t="s">
        <v>412</v>
      </c>
      <c r="L41" s="41"/>
      <c r="M41" s="41">
        <v>2</v>
      </c>
      <c r="N41" s="41">
        <f t="shared" si="6"/>
        <v>2</v>
      </c>
      <c r="O41" s="18"/>
    </row>
    <row r="42" ht="18" customHeight="1" spans="1:15">
      <c r="A42" s="1"/>
      <c r="B42" s="4"/>
      <c r="C42" s="4"/>
      <c r="D42" s="4"/>
      <c r="E42" s="18"/>
      <c r="F42" s="35" t="s">
        <v>314</v>
      </c>
      <c r="G42" s="24">
        <v>124</v>
      </c>
      <c r="H42" s="24">
        <v>145</v>
      </c>
      <c r="I42" s="24">
        <f t="shared" si="11"/>
        <v>21</v>
      </c>
      <c r="J42" s="5">
        <f t="shared" si="12"/>
        <v>0.169354838709677</v>
      </c>
      <c r="K42" s="21" t="s">
        <v>268</v>
      </c>
      <c r="L42" s="45">
        <v>2146</v>
      </c>
      <c r="M42" s="45">
        <v>2996</v>
      </c>
      <c r="N42" s="41">
        <f t="shared" si="6"/>
        <v>850</v>
      </c>
      <c r="O42" s="18">
        <f>N42/L42</f>
        <v>0.396085740913327</v>
      </c>
    </row>
    <row r="43" ht="18" customHeight="1" spans="1:15">
      <c r="A43" s="28" t="s">
        <v>124</v>
      </c>
      <c r="B43" s="17">
        <f>SUM(B5,B29,B38:B39)</f>
        <v>113091</v>
      </c>
      <c r="C43" s="17">
        <f>SUM(C5,C29,C38:C39)</f>
        <v>129724</v>
      </c>
      <c r="D43" s="17">
        <f>SUM(D5,D29,D38:D39)</f>
        <v>16633</v>
      </c>
      <c r="E43" s="18">
        <f>D43/B43</f>
        <v>0.14707624833099</v>
      </c>
      <c r="F43" s="36" t="s">
        <v>363</v>
      </c>
      <c r="G43" s="32">
        <f>SUM(G37:G38)</f>
        <v>81366</v>
      </c>
      <c r="H43" s="32">
        <f>SUM(H37:H38)</f>
        <v>100099.5</v>
      </c>
      <c r="I43" s="17">
        <f t="shared" si="11"/>
        <v>18733.5</v>
      </c>
      <c r="J43" s="18">
        <f t="shared" si="12"/>
        <v>0.230237445616105</v>
      </c>
      <c r="K43" s="21" t="s">
        <v>91</v>
      </c>
      <c r="L43" s="17">
        <f>SUM(L18,L41:L42)</f>
        <v>16639</v>
      </c>
      <c r="M43" s="17">
        <f>SUM(M18,M41:M42)</f>
        <v>52404</v>
      </c>
      <c r="N43" s="17">
        <f>SUM(N18,N41:N42)</f>
        <v>35765</v>
      </c>
      <c r="O43" s="18">
        <f>N43/L43</f>
        <v>2.14946811707434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6:O16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22" workbookViewId="0">
      <selection activeCell="M13" sqref="M13"/>
    </sheetView>
  </sheetViews>
  <sheetFormatPr defaultColWidth="9" defaultRowHeight="14.25"/>
  <cols>
    <col min="1" max="1" width="25.875" customWidth="1"/>
    <col min="2" max="2" width="11" customWidth="1"/>
    <col min="3" max="3" width="10.625" customWidth="1"/>
    <col min="4" max="4" width="10.375" customWidth="1"/>
    <col min="5" max="5" width="10" customWidth="1"/>
    <col min="6" max="6" width="29.375" customWidth="1"/>
    <col min="7" max="7" width="10.75" customWidth="1"/>
    <col min="8" max="8" width="10.875" customWidth="1"/>
    <col min="9" max="9" width="10.375" customWidth="1"/>
    <col min="10" max="10" width="9.875" customWidth="1"/>
    <col min="11" max="11" width="35.875" customWidth="1"/>
    <col min="12" max="12" width="10.375" customWidth="1"/>
    <col min="13" max="13" width="10.5" customWidth="1"/>
    <col min="14" max="14" width="8.875" customWidth="1"/>
    <col min="15" max="15" width="9.75" style="6" customWidth="1"/>
    <col min="17" max="17" width="14.375" customWidth="1"/>
  </cols>
  <sheetData>
    <row r="1" ht="33.75" spans="1:15">
      <c r="A1" s="7" t="s">
        <v>487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436</v>
      </c>
      <c r="B3" s="10"/>
      <c r="C3" s="10"/>
      <c r="D3" s="10"/>
      <c r="E3" s="11"/>
      <c r="F3" s="49" t="s">
        <v>437</v>
      </c>
      <c r="G3" s="49"/>
      <c r="H3" s="49"/>
      <c r="I3" s="49"/>
      <c r="J3" s="49"/>
      <c r="K3" s="49" t="s">
        <v>292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455</v>
      </c>
      <c r="C4" s="15" t="s">
        <v>456</v>
      </c>
      <c r="D4" s="15" t="s">
        <v>131</v>
      </c>
      <c r="E4" s="15" t="s">
        <v>132</v>
      </c>
      <c r="F4" s="15" t="s">
        <v>6</v>
      </c>
      <c r="G4" s="15" t="s">
        <v>455</v>
      </c>
      <c r="H4" s="15" t="s">
        <v>456</v>
      </c>
      <c r="I4" s="15" t="s">
        <v>131</v>
      </c>
      <c r="J4" s="15" t="s">
        <v>132</v>
      </c>
      <c r="K4" s="15" t="s">
        <v>6</v>
      </c>
      <c r="L4" s="15" t="s">
        <v>455</v>
      </c>
      <c r="M4" s="15" t="s">
        <v>456</v>
      </c>
      <c r="N4" s="15" t="s">
        <v>131</v>
      </c>
      <c r="O4" s="15" t="s">
        <v>132</v>
      </c>
    </row>
    <row r="5" ht="18.75" customHeight="1" spans="1:15">
      <c r="A5" s="16" t="s">
        <v>383</v>
      </c>
      <c r="B5" s="17">
        <f>SUM(B6,B20)</f>
        <v>58650</v>
      </c>
      <c r="C5" s="17">
        <f>SUM(C6,C20)</f>
        <v>64600</v>
      </c>
      <c r="D5" s="17">
        <f>SUM(D6,D20)</f>
        <v>65541</v>
      </c>
      <c r="E5" s="18">
        <f t="shared" ref="E5:E23" si="0">D5/C5</f>
        <v>1.01456656346749</v>
      </c>
      <c r="F5" s="16" t="s">
        <v>440</v>
      </c>
      <c r="G5" s="50">
        <f>SUM(G6,G11:G27)</f>
        <v>75462</v>
      </c>
      <c r="H5" s="19">
        <f>SUM(H6,H11:H27)</f>
        <v>128445</v>
      </c>
      <c r="I5" s="20">
        <f>SUM(I6,I11:I27)</f>
        <v>121646</v>
      </c>
      <c r="J5" s="18">
        <f t="shared" ref="J5:J27" si="1">I5/H5</f>
        <v>0.947066837946203</v>
      </c>
      <c r="K5" s="16" t="s">
        <v>133</v>
      </c>
      <c r="L5" s="41">
        <f>SUM(L6,L12)</f>
        <v>17150</v>
      </c>
      <c r="M5" s="41">
        <f>SUM(M6,M12)</f>
        <v>41986</v>
      </c>
      <c r="N5" s="41">
        <f>SUM(N6,N12)</f>
        <v>45506</v>
      </c>
      <c r="O5" s="18">
        <f t="shared" ref="O5:O12" si="2">N5/M5</f>
        <v>1.08383746963273</v>
      </c>
    </row>
    <row r="6" ht="18.75" customHeight="1" spans="1:15">
      <c r="A6" s="21" t="s">
        <v>15</v>
      </c>
      <c r="B6" s="17">
        <f>SUM(B7:B19)</f>
        <v>38300</v>
      </c>
      <c r="C6" s="17">
        <f>SUM(C7:C19)</f>
        <v>43500</v>
      </c>
      <c r="D6" s="17">
        <f>SUM(D7:D19)</f>
        <v>42510</v>
      </c>
      <c r="E6" s="18">
        <f t="shared" si="0"/>
        <v>0.977241379310345</v>
      </c>
      <c r="F6" s="1" t="s">
        <v>228</v>
      </c>
      <c r="G6" s="51">
        <v>13622</v>
      </c>
      <c r="H6" s="22">
        <v>19483</v>
      </c>
      <c r="I6" s="23">
        <v>19159</v>
      </c>
      <c r="J6" s="5">
        <f t="shared" si="1"/>
        <v>0.983370117538367</v>
      </c>
      <c r="K6" s="16" t="s">
        <v>461</v>
      </c>
      <c r="L6" s="41">
        <f>SUM(L7:L11)</f>
        <v>15650</v>
      </c>
      <c r="M6" s="41">
        <f>SUM(M7:M11)</f>
        <v>41850</v>
      </c>
      <c r="N6" s="41">
        <f>SUM(N7:N11)</f>
        <v>45370</v>
      </c>
      <c r="O6" s="18">
        <f t="shared" si="2"/>
        <v>1.08410991636798</v>
      </c>
    </row>
    <row r="7" ht="18.75" customHeight="1" spans="1:15">
      <c r="A7" s="1" t="s">
        <v>441</v>
      </c>
      <c r="B7" s="24">
        <v>7367</v>
      </c>
      <c r="C7" s="24">
        <v>7969</v>
      </c>
      <c r="D7" s="24">
        <v>7850</v>
      </c>
      <c r="E7" s="5">
        <f t="shared" si="0"/>
        <v>0.985067135148701</v>
      </c>
      <c r="F7" s="1" t="s">
        <v>442</v>
      </c>
      <c r="G7" s="4">
        <v>5159</v>
      </c>
      <c r="H7" s="22">
        <v>4380</v>
      </c>
      <c r="I7" s="23">
        <v>4376</v>
      </c>
      <c r="J7" s="5">
        <f t="shared" si="1"/>
        <v>0.999086757990868</v>
      </c>
      <c r="K7" s="42" t="s">
        <v>331</v>
      </c>
      <c r="L7" s="43">
        <v>150</v>
      </c>
      <c r="M7" s="43">
        <v>150</v>
      </c>
      <c r="N7" s="43">
        <v>101</v>
      </c>
      <c r="O7" s="5">
        <f t="shared" si="2"/>
        <v>0.673333333333333</v>
      </c>
    </row>
    <row r="8" ht="18.75" customHeight="1" spans="1:15">
      <c r="A8" s="1" t="s">
        <v>301</v>
      </c>
      <c r="B8" s="24">
        <v>14730</v>
      </c>
      <c r="C8" s="24">
        <v>16500</v>
      </c>
      <c r="D8" s="24">
        <v>16351</v>
      </c>
      <c r="E8" s="5">
        <f t="shared" si="0"/>
        <v>0.990969696969697</v>
      </c>
      <c r="F8" s="1" t="s">
        <v>443</v>
      </c>
      <c r="G8" s="4">
        <v>1667</v>
      </c>
      <c r="H8" s="22">
        <v>2347</v>
      </c>
      <c r="I8" s="23">
        <v>2333</v>
      </c>
      <c r="J8" s="5">
        <f t="shared" si="1"/>
        <v>0.994034938219003</v>
      </c>
      <c r="K8" s="42" t="s">
        <v>462</v>
      </c>
      <c r="L8" s="43">
        <v>15000</v>
      </c>
      <c r="M8" s="43">
        <v>40000</v>
      </c>
      <c r="N8" s="43">
        <v>44009</v>
      </c>
      <c r="O8" s="5">
        <f t="shared" si="2"/>
        <v>1.100225</v>
      </c>
    </row>
    <row r="9" ht="18.75" customHeight="1" spans="1:15">
      <c r="A9" s="1" t="s">
        <v>30</v>
      </c>
      <c r="B9" s="24">
        <v>3572</v>
      </c>
      <c r="C9" s="24">
        <v>4346</v>
      </c>
      <c r="D9" s="24">
        <v>4185</v>
      </c>
      <c r="E9" s="5">
        <f t="shared" si="0"/>
        <v>0.962954440865163</v>
      </c>
      <c r="F9" s="1" t="s">
        <v>445</v>
      </c>
      <c r="G9" s="4">
        <v>67</v>
      </c>
      <c r="H9" s="22">
        <v>72</v>
      </c>
      <c r="I9" s="23">
        <v>72</v>
      </c>
      <c r="J9" s="5">
        <f t="shared" si="1"/>
        <v>1</v>
      </c>
      <c r="K9" s="42" t="s">
        <v>444</v>
      </c>
      <c r="L9" s="43">
        <v>300</v>
      </c>
      <c r="M9" s="43">
        <v>800</v>
      </c>
      <c r="N9" s="43">
        <v>844</v>
      </c>
      <c r="O9" s="5">
        <f t="shared" si="2"/>
        <v>1.055</v>
      </c>
    </row>
    <row r="10" ht="18.75" customHeight="1" spans="1:15">
      <c r="A10" s="1" t="s">
        <v>33</v>
      </c>
      <c r="B10" s="24">
        <v>3376</v>
      </c>
      <c r="C10" s="24">
        <v>3200</v>
      </c>
      <c r="D10" s="24">
        <v>3057</v>
      </c>
      <c r="E10" s="5">
        <f t="shared" si="0"/>
        <v>0.9553125</v>
      </c>
      <c r="F10" s="1" t="s">
        <v>447</v>
      </c>
      <c r="G10" s="4">
        <v>283</v>
      </c>
      <c r="H10" s="22">
        <v>451</v>
      </c>
      <c r="I10" s="23">
        <v>419</v>
      </c>
      <c r="J10" s="5">
        <f t="shared" si="1"/>
        <v>0.929046563192905</v>
      </c>
      <c r="K10" s="42" t="s">
        <v>463</v>
      </c>
      <c r="L10" s="43">
        <v>200</v>
      </c>
      <c r="M10" s="43">
        <v>100</v>
      </c>
      <c r="N10" s="43">
        <v>52</v>
      </c>
      <c r="O10" s="5">
        <f t="shared" si="2"/>
        <v>0.52</v>
      </c>
    </row>
    <row r="11" ht="18.75" customHeight="1" spans="1:15">
      <c r="A11" s="1" t="s">
        <v>36</v>
      </c>
      <c r="B11" s="56">
        <v>1300</v>
      </c>
      <c r="C11" s="56">
        <v>1800</v>
      </c>
      <c r="D11" s="24">
        <v>1732</v>
      </c>
      <c r="E11" s="5">
        <f t="shared" si="0"/>
        <v>0.962222222222222</v>
      </c>
      <c r="F11" s="1" t="s">
        <v>229</v>
      </c>
      <c r="G11" s="4">
        <v>210</v>
      </c>
      <c r="H11" s="22">
        <v>215</v>
      </c>
      <c r="I11" s="23">
        <v>215</v>
      </c>
      <c r="J11" s="5">
        <f t="shared" si="1"/>
        <v>1</v>
      </c>
      <c r="K11" s="58" t="s">
        <v>488</v>
      </c>
      <c r="L11" s="43"/>
      <c r="M11" s="43">
        <v>800</v>
      </c>
      <c r="N11" s="43">
        <v>364</v>
      </c>
      <c r="O11" s="5">
        <f t="shared" si="2"/>
        <v>0.455</v>
      </c>
    </row>
    <row r="12" ht="18.75" customHeight="1" spans="1:15">
      <c r="A12" s="1" t="s">
        <v>39</v>
      </c>
      <c r="B12" s="56">
        <v>1500</v>
      </c>
      <c r="C12" s="56">
        <v>2000</v>
      </c>
      <c r="D12" s="24">
        <v>1932</v>
      </c>
      <c r="E12" s="5">
        <f t="shared" si="0"/>
        <v>0.966</v>
      </c>
      <c r="F12" s="1" t="s">
        <v>231</v>
      </c>
      <c r="G12" s="4">
        <v>5457</v>
      </c>
      <c r="H12" s="22">
        <v>7792</v>
      </c>
      <c r="I12" s="23">
        <v>7423</v>
      </c>
      <c r="J12" s="5">
        <f t="shared" si="1"/>
        <v>0.952643737166324</v>
      </c>
      <c r="K12" s="16" t="s">
        <v>465</v>
      </c>
      <c r="L12" s="41">
        <v>1500</v>
      </c>
      <c r="M12" s="41">
        <v>136</v>
      </c>
      <c r="N12" s="41">
        <v>136</v>
      </c>
      <c r="O12" s="18">
        <f t="shared" si="2"/>
        <v>1</v>
      </c>
    </row>
    <row r="13" ht="18.75" customHeight="1" spans="1:15">
      <c r="A13" s="1" t="s">
        <v>42</v>
      </c>
      <c r="B13" s="56">
        <v>1200</v>
      </c>
      <c r="C13" s="56">
        <v>1285</v>
      </c>
      <c r="D13" s="24">
        <v>1176</v>
      </c>
      <c r="E13" s="5">
        <f t="shared" si="0"/>
        <v>0.915175097276265</v>
      </c>
      <c r="F13" s="1" t="s">
        <v>233</v>
      </c>
      <c r="G13" s="4">
        <v>32705</v>
      </c>
      <c r="H13" s="22">
        <v>40434</v>
      </c>
      <c r="I13" s="23">
        <v>40193</v>
      </c>
      <c r="J13" s="5">
        <f t="shared" si="1"/>
        <v>0.994039669585003</v>
      </c>
      <c r="K13" s="21" t="s">
        <v>32</v>
      </c>
      <c r="L13" s="21"/>
      <c r="M13" s="43"/>
      <c r="N13" s="44">
        <v>4871</v>
      </c>
      <c r="O13" s="4"/>
    </row>
    <row r="14" ht="18.75" customHeight="1" spans="1:15">
      <c r="A14" s="1" t="s">
        <v>45</v>
      </c>
      <c r="B14" s="56">
        <v>400</v>
      </c>
      <c r="C14" s="56">
        <v>550</v>
      </c>
      <c r="D14" s="24">
        <v>553</v>
      </c>
      <c r="E14" s="5">
        <f t="shared" si="0"/>
        <v>1.00545454545455</v>
      </c>
      <c r="F14" s="1" t="s">
        <v>235</v>
      </c>
      <c r="G14" s="4">
        <v>1098</v>
      </c>
      <c r="H14" s="22">
        <v>2536</v>
      </c>
      <c r="I14" s="23">
        <v>2491</v>
      </c>
      <c r="J14" s="5">
        <f t="shared" si="1"/>
        <v>0.982255520504732</v>
      </c>
      <c r="K14" s="21" t="s">
        <v>35</v>
      </c>
      <c r="L14" s="21"/>
      <c r="M14" s="43"/>
      <c r="N14" s="45">
        <v>2027</v>
      </c>
      <c r="O14" s="45"/>
    </row>
    <row r="15" ht="18.75" customHeight="1" spans="1:15">
      <c r="A15" s="1" t="s">
        <v>47</v>
      </c>
      <c r="B15" s="56">
        <v>1655</v>
      </c>
      <c r="C15" s="56">
        <v>1900</v>
      </c>
      <c r="D15" s="24">
        <v>1615</v>
      </c>
      <c r="E15" s="5">
        <f t="shared" si="0"/>
        <v>0.85</v>
      </c>
      <c r="F15" s="1" t="s">
        <v>237</v>
      </c>
      <c r="G15" s="4">
        <v>745</v>
      </c>
      <c r="H15" s="22">
        <v>1239</v>
      </c>
      <c r="I15" s="23">
        <v>1186</v>
      </c>
      <c r="J15" s="5">
        <f t="shared" si="1"/>
        <v>0.957223567393059</v>
      </c>
      <c r="K15" s="46" t="s">
        <v>41</v>
      </c>
      <c r="L15" s="32">
        <f>SUM(L14,L13,L5)</f>
        <v>17150</v>
      </c>
      <c r="M15" s="32">
        <f>SUM(M14,M13,M5)</f>
        <v>41986</v>
      </c>
      <c r="N15" s="32">
        <f>SUM(N14,N13,N5)</f>
        <v>52404</v>
      </c>
      <c r="O15" s="4"/>
    </row>
    <row r="16" ht="18.75" customHeight="1" spans="1:15">
      <c r="A16" s="1" t="s">
        <v>50</v>
      </c>
      <c r="B16" s="56">
        <v>1000</v>
      </c>
      <c r="C16" s="56">
        <v>1400</v>
      </c>
      <c r="D16" s="24">
        <v>1247</v>
      </c>
      <c r="E16" s="5">
        <f t="shared" si="0"/>
        <v>0.890714285714286</v>
      </c>
      <c r="F16" s="1" t="s">
        <v>239</v>
      </c>
      <c r="G16" s="4">
        <v>2691</v>
      </c>
      <c r="H16" s="22">
        <v>5198</v>
      </c>
      <c r="I16" s="23">
        <v>4902</v>
      </c>
      <c r="J16" s="5">
        <f t="shared" si="1"/>
        <v>0.943055021161985</v>
      </c>
      <c r="K16" s="49" t="s">
        <v>306</v>
      </c>
      <c r="L16" s="49"/>
      <c r="M16" s="49"/>
      <c r="N16" s="49"/>
      <c r="O16" s="49"/>
    </row>
    <row r="17" ht="18.75" customHeight="1" spans="1:15">
      <c r="A17" s="1" t="s">
        <v>53</v>
      </c>
      <c r="B17" s="56">
        <v>400</v>
      </c>
      <c r="C17" s="56">
        <v>450</v>
      </c>
      <c r="D17" s="24">
        <v>462</v>
      </c>
      <c r="E17" s="5">
        <f t="shared" si="0"/>
        <v>1.02666666666667</v>
      </c>
      <c r="F17" s="1" t="s">
        <v>273</v>
      </c>
      <c r="G17" s="4">
        <v>4839</v>
      </c>
      <c r="H17" s="22">
        <v>11785</v>
      </c>
      <c r="I17" s="23">
        <v>11018</v>
      </c>
      <c r="J17" s="55">
        <f t="shared" si="1"/>
        <v>0.934917267713195</v>
      </c>
      <c r="K17" s="15" t="s">
        <v>6</v>
      </c>
      <c r="L17" s="15" t="s">
        <v>455</v>
      </c>
      <c r="M17" s="15" t="s">
        <v>456</v>
      </c>
      <c r="N17" s="15" t="s">
        <v>131</v>
      </c>
      <c r="O17" s="15" t="s">
        <v>132</v>
      </c>
    </row>
    <row r="18" ht="18.75" customHeight="1" spans="1:15">
      <c r="A18" s="1" t="s">
        <v>247</v>
      </c>
      <c r="B18" s="24">
        <v>200</v>
      </c>
      <c r="C18" s="24">
        <v>100</v>
      </c>
      <c r="D18" s="24">
        <v>190</v>
      </c>
      <c r="E18" s="5">
        <f t="shared" si="0"/>
        <v>1.9</v>
      </c>
      <c r="F18" s="1" t="s">
        <v>466</v>
      </c>
      <c r="G18" s="4">
        <v>409</v>
      </c>
      <c r="H18" s="22">
        <v>3233</v>
      </c>
      <c r="I18" s="23">
        <v>3032</v>
      </c>
      <c r="J18" s="5">
        <f t="shared" si="1"/>
        <v>0.937828642128054</v>
      </c>
      <c r="K18" s="16" t="s">
        <v>144</v>
      </c>
      <c r="L18" s="17">
        <f>SUM(L19,L40)</f>
        <v>17150</v>
      </c>
      <c r="M18" s="17">
        <f>SUM(M19,M40)</f>
        <v>52402</v>
      </c>
      <c r="N18" s="17">
        <f>SUM(N19,N40)</f>
        <v>49406</v>
      </c>
      <c r="O18" s="18">
        <f t="shared" ref="O18:O40" si="3">N18/M18</f>
        <v>0.942826609671387</v>
      </c>
    </row>
    <row r="19" ht="18.75" customHeight="1" spans="1:15">
      <c r="A19" s="1" t="s">
        <v>250</v>
      </c>
      <c r="B19" s="24">
        <v>1600</v>
      </c>
      <c r="C19" s="24">
        <v>2000</v>
      </c>
      <c r="D19" s="24">
        <v>2160</v>
      </c>
      <c r="E19" s="5">
        <f t="shared" si="0"/>
        <v>1.08</v>
      </c>
      <c r="F19" s="1" t="s">
        <v>274</v>
      </c>
      <c r="G19" s="4">
        <v>1100</v>
      </c>
      <c r="H19" s="22">
        <v>2952</v>
      </c>
      <c r="I19" s="23">
        <v>2936</v>
      </c>
      <c r="J19" s="5">
        <f t="shared" si="1"/>
        <v>0.994579945799458</v>
      </c>
      <c r="K19" s="16" t="s">
        <v>467</v>
      </c>
      <c r="L19" s="17">
        <f>SUM(L20:L39)</f>
        <v>15650</v>
      </c>
      <c r="M19" s="17">
        <f>SUM(M20:M39)</f>
        <v>52266</v>
      </c>
      <c r="N19" s="17">
        <f>SUM(N20:N39)</f>
        <v>49270</v>
      </c>
      <c r="O19" s="18">
        <f t="shared" si="3"/>
        <v>0.942677840278575</v>
      </c>
    </row>
    <row r="20" ht="18.75" customHeight="1" spans="1:15">
      <c r="A20" s="21" t="s">
        <v>68</v>
      </c>
      <c r="B20" s="17">
        <f>SUM(B21,B25:B28)</f>
        <v>20350</v>
      </c>
      <c r="C20" s="17">
        <f>SUM(C21,C25:C28)</f>
        <v>21100</v>
      </c>
      <c r="D20" s="17">
        <f>SUM(D21,D25:D28)</f>
        <v>23031</v>
      </c>
      <c r="E20" s="18">
        <f t="shared" si="0"/>
        <v>1.09151658767773</v>
      </c>
      <c r="F20" s="1" t="s">
        <v>275</v>
      </c>
      <c r="G20" s="4">
        <v>5153</v>
      </c>
      <c r="H20" s="22">
        <v>14845</v>
      </c>
      <c r="I20" s="23">
        <v>14023</v>
      </c>
      <c r="J20" s="5">
        <f t="shared" si="1"/>
        <v>0.944627820815089</v>
      </c>
      <c r="K20" s="42" t="s">
        <v>468</v>
      </c>
      <c r="L20" s="43"/>
      <c r="M20" s="43">
        <v>275</v>
      </c>
      <c r="N20" s="43">
        <v>172</v>
      </c>
      <c r="O20" s="5">
        <f t="shared" si="3"/>
        <v>0.625454545454545</v>
      </c>
    </row>
    <row r="21" ht="18.75" customHeight="1" spans="1:15">
      <c r="A21" s="21" t="s">
        <v>71</v>
      </c>
      <c r="B21" s="17">
        <f>SUM(B22:B24)</f>
        <v>790</v>
      </c>
      <c r="C21" s="17">
        <f>SUM(C22:C24)</f>
        <v>1090</v>
      </c>
      <c r="D21" s="17">
        <f>SUM(D22:D24)</f>
        <v>1173</v>
      </c>
      <c r="E21" s="18">
        <f t="shared" si="0"/>
        <v>1.07614678899083</v>
      </c>
      <c r="F21" s="1" t="s">
        <v>244</v>
      </c>
      <c r="G21" s="4">
        <v>1072</v>
      </c>
      <c r="H21" s="22">
        <v>4106</v>
      </c>
      <c r="I21" s="23">
        <v>3447</v>
      </c>
      <c r="J21" s="5">
        <f t="shared" si="1"/>
        <v>0.839503166098393</v>
      </c>
      <c r="K21" s="42" t="s">
        <v>469</v>
      </c>
      <c r="L21" s="43"/>
      <c r="M21" s="43">
        <v>393</v>
      </c>
      <c r="N21" s="43">
        <v>258</v>
      </c>
      <c r="O21" s="5">
        <f t="shared" si="3"/>
        <v>0.656488549618321</v>
      </c>
    </row>
    <row r="22" ht="18.75" customHeight="1" spans="1:15">
      <c r="A22" s="1" t="s">
        <v>398</v>
      </c>
      <c r="B22" s="24">
        <v>90</v>
      </c>
      <c r="C22" s="24">
        <v>90</v>
      </c>
      <c r="D22" s="24">
        <v>113</v>
      </c>
      <c r="E22" s="5">
        <f t="shared" si="0"/>
        <v>1.25555555555556</v>
      </c>
      <c r="F22" s="1" t="s">
        <v>276</v>
      </c>
      <c r="G22" s="4">
        <v>1618</v>
      </c>
      <c r="H22" s="22">
        <v>2556</v>
      </c>
      <c r="I22" s="23">
        <v>2190</v>
      </c>
      <c r="J22" s="5">
        <f t="shared" si="1"/>
        <v>0.856807511737089</v>
      </c>
      <c r="K22" s="42" t="s">
        <v>470</v>
      </c>
      <c r="L22" s="43"/>
      <c r="M22" s="43">
        <v>815</v>
      </c>
      <c r="N22" s="43">
        <v>662</v>
      </c>
      <c r="O22" s="5">
        <f t="shared" si="3"/>
        <v>0.812269938650307</v>
      </c>
    </row>
    <row r="23" ht="18.75" customHeight="1" spans="1:15">
      <c r="A23" s="1" t="s">
        <v>312</v>
      </c>
      <c r="B23" s="24">
        <v>700</v>
      </c>
      <c r="C23" s="24">
        <v>1000</v>
      </c>
      <c r="D23" s="24">
        <v>997</v>
      </c>
      <c r="E23" s="5">
        <f t="shared" si="0"/>
        <v>0.997</v>
      </c>
      <c r="F23" s="1" t="s">
        <v>277</v>
      </c>
      <c r="G23" s="4">
        <v>717</v>
      </c>
      <c r="H23" s="22">
        <v>3929</v>
      </c>
      <c r="I23" s="23">
        <v>3814</v>
      </c>
      <c r="J23" s="5">
        <f t="shared" si="1"/>
        <v>0.970730465767371</v>
      </c>
      <c r="K23" s="42" t="s">
        <v>471</v>
      </c>
      <c r="L23" s="43"/>
      <c r="M23" s="43">
        <v>49</v>
      </c>
      <c r="N23" s="43">
        <v>49</v>
      </c>
      <c r="O23" s="5">
        <f t="shared" si="3"/>
        <v>1</v>
      </c>
    </row>
    <row r="24" ht="18.75" customHeight="1" spans="1:15">
      <c r="A24" s="25" t="s">
        <v>345</v>
      </c>
      <c r="B24" s="24"/>
      <c r="C24" s="24"/>
      <c r="D24" s="24">
        <v>63</v>
      </c>
      <c r="E24" s="1"/>
      <c r="F24" s="1" t="s">
        <v>278</v>
      </c>
      <c r="G24" s="4">
        <v>482</v>
      </c>
      <c r="H24" s="22">
        <v>2014</v>
      </c>
      <c r="I24" s="23">
        <v>1861</v>
      </c>
      <c r="J24" s="5">
        <f t="shared" si="1"/>
        <v>0.9240317775571</v>
      </c>
      <c r="K24" s="42" t="s">
        <v>472</v>
      </c>
      <c r="L24" s="43">
        <v>150</v>
      </c>
      <c r="M24" s="43">
        <v>152</v>
      </c>
      <c r="N24" s="43">
        <v>135</v>
      </c>
      <c r="O24" s="5">
        <f t="shared" si="3"/>
        <v>0.888157894736842</v>
      </c>
    </row>
    <row r="25" ht="18.75" customHeight="1" spans="1:15">
      <c r="A25" s="1" t="s">
        <v>77</v>
      </c>
      <c r="B25" s="24">
        <v>2600</v>
      </c>
      <c r="C25" s="24">
        <v>3600</v>
      </c>
      <c r="D25" s="24">
        <v>5850</v>
      </c>
      <c r="E25" s="5">
        <f>D25/C25</f>
        <v>1.625</v>
      </c>
      <c r="F25" s="1" t="s">
        <v>279</v>
      </c>
      <c r="G25" s="4">
        <v>400</v>
      </c>
      <c r="H25" s="22">
        <v>1252</v>
      </c>
      <c r="I25" s="23">
        <v>1252</v>
      </c>
      <c r="J25" s="5">
        <f t="shared" si="1"/>
        <v>1</v>
      </c>
      <c r="K25" s="42" t="s">
        <v>473</v>
      </c>
      <c r="L25" s="43"/>
      <c r="M25" s="43">
        <v>319</v>
      </c>
      <c r="N25" s="43">
        <v>181</v>
      </c>
      <c r="O25" s="5">
        <f t="shared" si="3"/>
        <v>0.567398119122257</v>
      </c>
    </row>
    <row r="26" ht="18.75" customHeight="1" spans="1:15">
      <c r="A26" s="1" t="s">
        <v>80</v>
      </c>
      <c r="B26" s="24">
        <v>1500</v>
      </c>
      <c r="C26" s="24">
        <v>1300</v>
      </c>
      <c r="D26" s="24">
        <v>1197</v>
      </c>
      <c r="E26" s="5">
        <f>D26/C26</f>
        <v>0.920769230769231</v>
      </c>
      <c r="F26" s="1" t="s">
        <v>281</v>
      </c>
      <c r="G26" s="4">
        <v>838</v>
      </c>
      <c r="H26" s="22">
        <v>972</v>
      </c>
      <c r="I26" s="23">
        <v>842</v>
      </c>
      <c r="J26" s="5">
        <f t="shared" si="1"/>
        <v>0.866255144032922</v>
      </c>
      <c r="K26" s="42" t="s">
        <v>474</v>
      </c>
      <c r="L26" s="43">
        <v>15000</v>
      </c>
      <c r="M26" s="43">
        <v>42332</v>
      </c>
      <c r="N26" s="43">
        <v>42316</v>
      </c>
      <c r="O26" s="5">
        <f t="shared" si="3"/>
        <v>0.999622035339696</v>
      </c>
    </row>
    <row r="27" ht="18.75" customHeight="1" spans="1:15">
      <c r="A27" s="1" t="s">
        <v>155</v>
      </c>
      <c r="B27" s="24">
        <v>6000</v>
      </c>
      <c r="C27" s="24">
        <v>6000</v>
      </c>
      <c r="D27" s="24">
        <v>5042</v>
      </c>
      <c r="E27" s="5">
        <f>D27/C27</f>
        <v>0.840333333333333</v>
      </c>
      <c r="F27" s="1" t="s">
        <v>475</v>
      </c>
      <c r="G27" s="4">
        <v>2306</v>
      </c>
      <c r="H27" s="22">
        <v>3904</v>
      </c>
      <c r="I27" s="23">
        <v>1662</v>
      </c>
      <c r="J27" s="5">
        <f t="shared" si="1"/>
        <v>0.425717213114754</v>
      </c>
      <c r="K27" s="42" t="s">
        <v>476</v>
      </c>
      <c r="L27" s="43">
        <v>300</v>
      </c>
      <c r="M27" s="43">
        <v>1202</v>
      </c>
      <c r="N27" s="43">
        <v>502</v>
      </c>
      <c r="O27" s="5">
        <f t="shared" si="3"/>
        <v>0.417637271214642</v>
      </c>
    </row>
    <row r="28" ht="18.75" customHeight="1" spans="1:15">
      <c r="A28" s="1" t="s">
        <v>452</v>
      </c>
      <c r="B28" s="24">
        <v>9460</v>
      </c>
      <c r="C28" s="24">
        <v>9110</v>
      </c>
      <c r="D28" s="24">
        <v>9769</v>
      </c>
      <c r="E28" s="5">
        <f>D28/C28</f>
        <v>1.07233809001098</v>
      </c>
      <c r="F28" s="26" t="s">
        <v>78</v>
      </c>
      <c r="G28" s="27">
        <f>SUM(G29:G31)</f>
        <v>1117</v>
      </c>
      <c r="H28" s="27">
        <f>SUM(H29:H31)</f>
        <v>1279</v>
      </c>
      <c r="I28" s="27">
        <f>SUM(I29:I31)</f>
        <v>1279</v>
      </c>
      <c r="J28" s="5"/>
      <c r="K28" s="42" t="s">
        <v>477</v>
      </c>
      <c r="L28" s="43"/>
      <c r="M28" s="43">
        <v>1890</v>
      </c>
      <c r="N28" s="43">
        <v>1836</v>
      </c>
      <c r="O28" s="5">
        <f t="shared" si="3"/>
        <v>0.971428571428571</v>
      </c>
    </row>
    <row r="29" ht="18.75" customHeight="1" spans="1:15">
      <c r="A29" s="28" t="s">
        <v>94</v>
      </c>
      <c r="B29" s="17">
        <f>SUM(B30:B35)</f>
        <v>17929</v>
      </c>
      <c r="C29" s="17">
        <f>SUM(C30:C35)</f>
        <v>17929</v>
      </c>
      <c r="D29" s="17">
        <f>SUM(D30:D35)</f>
        <v>53357</v>
      </c>
      <c r="E29" s="5"/>
      <c r="F29" s="1" t="s">
        <v>81</v>
      </c>
      <c r="G29" s="4">
        <v>417</v>
      </c>
      <c r="H29" s="22">
        <v>417</v>
      </c>
      <c r="I29" s="23">
        <v>417</v>
      </c>
      <c r="J29" s="5"/>
      <c r="K29" s="42" t="s">
        <v>478</v>
      </c>
      <c r="L29" s="43"/>
      <c r="M29" s="43">
        <v>152</v>
      </c>
      <c r="N29" s="43">
        <v>127</v>
      </c>
      <c r="O29" s="5">
        <f t="shared" si="3"/>
        <v>0.835526315789474</v>
      </c>
    </row>
    <row r="30" ht="18.75" customHeight="1" spans="1:15">
      <c r="A30" s="29" t="s">
        <v>96</v>
      </c>
      <c r="B30" s="24">
        <f>1671+5247</f>
        <v>6918</v>
      </c>
      <c r="C30" s="24">
        <f>1671+5247</f>
        <v>6918</v>
      </c>
      <c r="D30" s="24">
        <f>1671+5247+659</f>
        <v>7577</v>
      </c>
      <c r="E30" s="5"/>
      <c r="F30" s="1" t="s">
        <v>84</v>
      </c>
      <c r="G30" s="57">
        <v>700</v>
      </c>
      <c r="H30" s="23">
        <v>862</v>
      </c>
      <c r="I30" s="23">
        <v>862</v>
      </c>
      <c r="J30" s="5"/>
      <c r="K30" s="42" t="s">
        <v>479</v>
      </c>
      <c r="L30" s="43"/>
      <c r="M30" s="43">
        <v>1613</v>
      </c>
      <c r="N30" s="43">
        <v>892</v>
      </c>
      <c r="O30" s="5">
        <f t="shared" si="3"/>
        <v>0.553006819590825</v>
      </c>
    </row>
    <row r="31" ht="18.75" customHeight="1" spans="1:15">
      <c r="A31" s="29" t="s">
        <v>99</v>
      </c>
      <c r="B31" s="24">
        <v>11011</v>
      </c>
      <c r="C31" s="24">
        <v>11011</v>
      </c>
      <c r="D31" s="24">
        <v>14555</v>
      </c>
      <c r="E31" s="5"/>
      <c r="F31" s="1" t="s">
        <v>480</v>
      </c>
      <c r="G31" s="4"/>
      <c r="I31" s="1"/>
      <c r="J31" s="1"/>
      <c r="K31" s="42" t="s">
        <v>403</v>
      </c>
      <c r="L31" s="43"/>
      <c r="M31" s="43">
        <v>369</v>
      </c>
      <c r="N31" s="43">
        <v>369</v>
      </c>
      <c r="O31" s="5">
        <f t="shared" si="3"/>
        <v>1</v>
      </c>
    </row>
    <row r="32" ht="18.75" customHeight="1" spans="1:15">
      <c r="A32" s="29" t="s">
        <v>102</v>
      </c>
      <c r="B32" s="24"/>
      <c r="C32" s="24"/>
      <c r="D32" s="24">
        <v>31225</v>
      </c>
      <c r="E32" s="5"/>
      <c r="F32" s="21" t="s">
        <v>453</v>
      </c>
      <c r="G32" s="45"/>
      <c r="H32" s="22"/>
      <c r="I32" s="20">
        <v>6799</v>
      </c>
      <c r="J32" s="5"/>
      <c r="K32" s="42" t="s">
        <v>481</v>
      </c>
      <c r="L32" s="43">
        <v>200</v>
      </c>
      <c r="M32" s="43">
        <v>264</v>
      </c>
      <c r="N32" s="43">
        <v>264</v>
      </c>
      <c r="O32" s="5">
        <f t="shared" si="3"/>
        <v>1</v>
      </c>
    </row>
    <row r="33" ht="18.75" customHeight="1" spans="1:15">
      <c r="A33" s="28"/>
      <c r="B33" s="17"/>
      <c r="C33" s="17"/>
      <c r="D33" s="17"/>
      <c r="E33" s="5"/>
      <c r="F33" s="1" t="s">
        <v>100</v>
      </c>
      <c r="G33" s="4"/>
      <c r="H33" s="22"/>
      <c r="I33" s="23">
        <v>6799</v>
      </c>
      <c r="J33" s="5"/>
      <c r="K33" s="42" t="s">
        <v>405</v>
      </c>
      <c r="L33" s="43"/>
      <c r="M33" s="43">
        <v>60</v>
      </c>
      <c r="N33" s="43">
        <v>60</v>
      </c>
      <c r="O33" s="5">
        <f t="shared" si="3"/>
        <v>1</v>
      </c>
    </row>
    <row r="34" ht="18.75" customHeight="1" spans="1:15">
      <c r="A34" s="29"/>
      <c r="B34" s="24"/>
      <c r="C34" s="24"/>
      <c r="D34" s="24"/>
      <c r="E34" s="5"/>
      <c r="F34" s="21" t="s">
        <v>103</v>
      </c>
      <c r="G34" s="17">
        <f>SUM(G5,G28,G32)</f>
        <v>76579</v>
      </c>
      <c r="H34" s="52"/>
      <c r="I34" s="17">
        <f>SUM(I5,I28,I32)</f>
        <v>129724</v>
      </c>
      <c r="J34" s="4"/>
      <c r="K34" s="42" t="s">
        <v>406</v>
      </c>
      <c r="L34" s="43"/>
      <c r="M34" s="43">
        <v>127</v>
      </c>
      <c r="N34" s="43">
        <v>51</v>
      </c>
      <c r="O34" s="5">
        <f t="shared" si="3"/>
        <v>0.401574803149606</v>
      </c>
    </row>
    <row r="35" ht="18.75" customHeight="1" spans="1:15">
      <c r="A35" s="29"/>
      <c r="B35" s="24"/>
      <c r="C35" s="24"/>
      <c r="D35" s="24"/>
      <c r="E35" s="5"/>
      <c r="F35" s="30" t="s">
        <v>355</v>
      </c>
      <c r="G35" s="31"/>
      <c r="H35" s="31"/>
      <c r="I35" s="31"/>
      <c r="J35" s="48"/>
      <c r="K35" s="42" t="s">
        <v>482</v>
      </c>
      <c r="L35" s="43"/>
      <c r="M35" s="43">
        <v>401</v>
      </c>
      <c r="N35" s="43">
        <v>368</v>
      </c>
      <c r="O35" s="5">
        <f t="shared" si="3"/>
        <v>0.917705735660848</v>
      </c>
    </row>
    <row r="36" ht="18.75" customHeight="1" spans="1:15">
      <c r="A36" s="29"/>
      <c r="B36" s="24"/>
      <c r="C36" s="24"/>
      <c r="D36" s="24"/>
      <c r="E36" s="5"/>
      <c r="F36" s="15" t="s">
        <v>6</v>
      </c>
      <c r="G36" s="15" t="s">
        <v>455</v>
      </c>
      <c r="H36" s="15" t="s">
        <v>456</v>
      </c>
      <c r="I36" s="15" t="s">
        <v>131</v>
      </c>
      <c r="J36" s="15" t="s">
        <v>132</v>
      </c>
      <c r="K36" s="42" t="s">
        <v>483</v>
      </c>
      <c r="L36" s="43"/>
      <c r="M36" s="43">
        <v>300</v>
      </c>
      <c r="N36" s="43">
        <v>300</v>
      </c>
      <c r="O36" s="5">
        <f t="shared" si="3"/>
        <v>1</v>
      </c>
    </row>
    <row r="37" ht="18.75" customHeight="1" spans="1:15">
      <c r="A37" s="1"/>
      <c r="B37" s="24"/>
      <c r="C37" s="24"/>
      <c r="D37" s="24"/>
      <c r="E37" s="4"/>
      <c r="F37" s="21" t="s">
        <v>383</v>
      </c>
      <c r="G37" s="32">
        <f>B5</f>
        <v>58650</v>
      </c>
      <c r="H37" s="32">
        <f>C5</f>
        <v>64600</v>
      </c>
      <c r="I37" s="32">
        <f>D5</f>
        <v>65541</v>
      </c>
      <c r="J37" s="18">
        <f t="shared" ref="J37:J43" si="4">I37/H37</f>
        <v>1.01456656346749</v>
      </c>
      <c r="K37" s="42" t="s">
        <v>484</v>
      </c>
      <c r="L37" s="43"/>
      <c r="M37" s="43">
        <v>42</v>
      </c>
      <c r="N37" s="43">
        <v>42</v>
      </c>
      <c r="O37" s="5">
        <f t="shared" si="3"/>
        <v>1</v>
      </c>
    </row>
    <row r="38" ht="18.75" customHeight="1" spans="1:15">
      <c r="A38" s="1"/>
      <c r="B38" s="24"/>
      <c r="C38" s="24"/>
      <c r="D38" s="24"/>
      <c r="E38" s="4"/>
      <c r="F38" s="34" t="s">
        <v>359</v>
      </c>
      <c r="G38" s="32">
        <f>SUM(G39:G42)</f>
        <v>32700</v>
      </c>
      <c r="H38" s="32">
        <f>SUM(H39:H42)</f>
        <v>35400</v>
      </c>
      <c r="I38" s="32">
        <f>SUM(I39:I42)</f>
        <v>34559</v>
      </c>
      <c r="J38" s="18">
        <f t="shared" si="4"/>
        <v>0.976242937853107</v>
      </c>
      <c r="K38" s="42" t="s">
        <v>489</v>
      </c>
      <c r="L38" s="43"/>
      <c r="M38" s="43">
        <v>608</v>
      </c>
      <c r="N38" s="43"/>
      <c r="O38" s="5">
        <f t="shared" si="3"/>
        <v>0</v>
      </c>
    </row>
    <row r="39" ht="18.75" customHeight="1" spans="1:15">
      <c r="A39" s="29"/>
      <c r="B39" s="24"/>
      <c r="C39" s="4"/>
      <c r="D39" s="24"/>
      <c r="E39" s="4"/>
      <c r="F39" s="35" t="s">
        <v>361</v>
      </c>
      <c r="G39" s="24">
        <f>B7*3</f>
        <v>22101</v>
      </c>
      <c r="H39" s="24">
        <f>C7*3</f>
        <v>23907</v>
      </c>
      <c r="I39" s="24">
        <f>D7*3</f>
        <v>23550</v>
      </c>
      <c r="J39" s="5">
        <f t="shared" si="4"/>
        <v>0.985067135148701</v>
      </c>
      <c r="K39" s="42" t="s">
        <v>490</v>
      </c>
      <c r="L39" s="43"/>
      <c r="M39" s="43">
        <v>903</v>
      </c>
      <c r="N39" s="43">
        <v>686</v>
      </c>
      <c r="O39" s="5">
        <f t="shared" si="3"/>
        <v>0.75968992248062</v>
      </c>
    </row>
    <row r="40" ht="18.75" customHeight="1" spans="1:15">
      <c r="A40" s="33" t="s">
        <v>105</v>
      </c>
      <c r="B40" s="53"/>
      <c r="C40" s="17">
        <v>901</v>
      </c>
      <c r="D40" s="17">
        <v>9376</v>
      </c>
      <c r="E40" s="45"/>
      <c r="F40" s="35" t="s">
        <v>117</v>
      </c>
      <c r="G40" s="24">
        <f>B9*1.5</f>
        <v>5358</v>
      </c>
      <c r="H40" s="24">
        <f>C9*1.5</f>
        <v>6519</v>
      </c>
      <c r="I40" s="24">
        <v>6278</v>
      </c>
      <c r="J40" s="5">
        <f t="shared" si="4"/>
        <v>0.96303113974536</v>
      </c>
      <c r="K40" s="16" t="s">
        <v>486</v>
      </c>
      <c r="L40" s="43">
        <v>1500</v>
      </c>
      <c r="M40" s="43">
        <v>136</v>
      </c>
      <c r="N40" s="43">
        <v>136</v>
      </c>
      <c r="O40" s="5">
        <f t="shared" si="3"/>
        <v>1</v>
      </c>
    </row>
    <row r="41" ht="18.75" customHeight="1" spans="1:15">
      <c r="A41" s="33" t="s">
        <v>407</v>
      </c>
      <c r="B41" s="1"/>
      <c r="C41" s="17">
        <v>1450</v>
      </c>
      <c r="D41" s="17">
        <v>1450</v>
      </c>
      <c r="E41" s="1"/>
      <c r="F41" s="35" t="s">
        <v>118</v>
      </c>
      <c r="G41" s="24">
        <f>B10*1.5</f>
        <v>5064</v>
      </c>
      <c r="H41" s="24">
        <f>C10*1.5</f>
        <v>4800</v>
      </c>
      <c r="I41" s="24">
        <v>4586</v>
      </c>
      <c r="J41" s="5">
        <f t="shared" si="4"/>
        <v>0.955416666666667</v>
      </c>
      <c r="K41" s="16" t="s">
        <v>412</v>
      </c>
      <c r="L41" s="43"/>
      <c r="M41" s="43"/>
      <c r="N41" s="41">
        <v>2</v>
      </c>
      <c r="O41" s="5"/>
    </row>
    <row r="42" ht="18.75" customHeight="1" spans="1:15">
      <c r="A42" s="1"/>
      <c r="B42" s="4"/>
      <c r="C42" s="4"/>
      <c r="D42" s="4"/>
      <c r="E42" s="5"/>
      <c r="F42" s="35" t="s">
        <v>314</v>
      </c>
      <c r="G42" s="24">
        <v>177</v>
      </c>
      <c r="H42" s="24">
        <v>174</v>
      </c>
      <c r="I42" s="24">
        <v>145</v>
      </c>
      <c r="J42" s="5">
        <f t="shared" si="4"/>
        <v>0.833333333333333</v>
      </c>
      <c r="K42" s="21" t="s">
        <v>268</v>
      </c>
      <c r="L42" s="1"/>
      <c r="M42" s="1"/>
      <c r="N42" s="45">
        <v>2996</v>
      </c>
      <c r="O42" s="4"/>
    </row>
    <row r="43" ht="18.75" customHeight="1" spans="1:15">
      <c r="A43" s="28" t="s">
        <v>124</v>
      </c>
      <c r="B43" s="17">
        <f>SUM(B5,B29,B40)</f>
        <v>76579</v>
      </c>
      <c r="C43" s="17"/>
      <c r="D43" s="17">
        <f>SUM(D5,D29,D40:D41)</f>
        <v>129724</v>
      </c>
      <c r="E43" s="5"/>
      <c r="F43" s="36" t="s">
        <v>363</v>
      </c>
      <c r="G43" s="32">
        <f>SUM(G37:G38)</f>
        <v>91350</v>
      </c>
      <c r="H43" s="32">
        <f>SUM(H37:H38)</f>
        <v>100000</v>
      </c>
      <c r="I43" s="32">
        <f>SUM(I37:I38)</f>
        <v>100100</v>
      </c>
      <c r="J43" s="18">
        <f t="shared" si="4"/>
        <v>1.001</v>
      </c>
      <c r="K43" s="21" t="s">
        <v>91</v>
      </c>
      <c r="L43" s="17">
        <f>SUM(L18,L42:L42)</f>
        <v>17150</v>
      </c>
      <c r="M43" s="17"/>
      <c r="N43" s="17">
        <f>SUM(N18,N41:N42)</f>
        <v>52404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6:O16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selection activeCell="K39" sqref="K39"/>
    </sheetView>
  </sheetViews>
  <sheetFormatPr defaultColWidth="9" defaultRowHeight="14.25"/>
  <cols>
    <col min="1" max="1" width="25.875" customWidth="1"/>
    <col min="2" max="2" width="11" customWidth="1"/>
    <col min="3" max="3" width="10.625" customWidth="1"/>
    <col min="4" max="4" width="10.375" customWidth="1"/>
    <col min="5" max="5" width="10" customWidth="1"/>
    <col min="6" max="6" width="29.375" customWidth="1"/>
    <col min="7" max="7" width="10.75" customWidth="1"/>
    <col min="8" max="8" width="10.875" customWidth="1"/>
    <col min="9" max="9" width="10.375" customWidth="1"/>
    <col min="10" max="10" width="9.875" customWidth="1"/>
    <col min="11" max="11" width="35.875" customWidth="1"/>
    <col min="12" max="12" width="10.375" customWidth="1"/>
    <col min="13" max="13" width="10.5" customWidth="1"/>
    <col min="14" max="14" width="8.875" customWidth="1"/>
    <col min="15" max="15" width="9.75" style="6" customWidth="1"/>
    <col min="17" max="17" width="14.375" customWidth="1"/>
  </cols>
  <sheetData>
    <row r="1" ht="33.75" spans="1:15">
      <c r="A1" s="7" t="s">
        <v>491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436</v>
      </c>
      <c r="B3" s="10"/>
      <c r="C3" s="10"/>
      <c r="D3" s="10"/>
      <c r="E3" s="11"/>
      <c r="F3" s="49" t="s">
        <v>437</v>
      </c>
      <c r="G3" s="49"/>
      <c r="H3" s="49"/>
      <c r="I3" s="49"/>
      <c r="J3" s="49"/>
      <c r="K3" s="49" t="s">
        <v>292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455</v>
      </c>
      <c r="C4" s="15" t="s">
        <v>456</v>
      </c>
      <c r="D4" s="15" t="s">
        <v>131</v>
      </c>
      <c r="E4" s="15" t="s">
        <v>132</v>
      </c>
      <c r="F4" s="15" t="s">
        <v>6</v>
      </c>
      <c r="G4" s="15" t="s">
        <v>455</v>
      </c>
      <c r="H4" s="15" t="s">
        <v>456</v>
      </c>
      <c r="I4" s="15" t="s">
        <v>131</v>
      </c>
      <c r="J4" s="15" t="s">
        <v>132</v>
      </c>
      <c r="K4" s="15" t="s">
        <v>6</v>
      </c>
      <c r="L4" s="15" t="s">
        <v>455</v>
      </c>
      <c r="M4" s="15" t="s">
        <v>456</v>
      </c>
      <c r="N4" s="15" t="s">
        <v>131</v>
      </c>
      <c r="O4" s="15" t="s">
        <v>132</v>
      </c>
    </row>
    <row r="5" ht="18.75" customHeight="1" spans="1:15">
      <c r="A5" s="16" t="s">
        <v>383</v>
      </c>
      <c r="B5" s="17">
        <f>SUM(B6,B20)</f>
        <v>57290</v>
      </c>
      <c r="C5" s="17">
        <f>SUM(C6,C20)</f>
        <v>53300</v>
      </c>
      <c r="D5" s="17">
        <f>SUM(D6,D20)</f>
        <v>53502</v>
      </c>
      <c r="E5" s="18">
        <f t="shared" ref="E5:E23" si="0">D5/C5</f>
        <v>1.00378986866792</v>
      </c>
      <c r="F5" s="16" t="s">
        <v>440</v>
      </c>
      <c r="G5" s="50">
        <f>SUM(G6,G11:G24)</f>
        <v>73878</v>
      </c>
      <c r="H5" s="19">
        <f>SUM(H6,H11:H24)</f>
        <v>111941</v>
      </c>
      <c r="I5" s="20">
        <f>SUM(I6,I11:I24)</f>
        <v>102565</v>
      </c>
      <c r="J5" s="18">
        <f t="shared" ref="J5:J24" si="1">I5/H5</f>
        <v>0.916241591552693</v>
      </c>
      <c r="K5" s="16" t="s">
        <v>133</v>
      </c>
      <c r="L5" s="41">
        <f>SUM(L6,L11)</f>
        <v>14960</v>
      </c>
      <c r="M5" s="41">
        <f>SUM(M6,M11)</f>
        <v>7100</v>
      </c>
      <c r="N5" s="41">
        <f>SUM(N6,N11)</f>
        <v>11466</v>
      </c>
      <c r="O5" s="18">
        <f t="shared" ref="O5:O11" si="2">N5/M5</f>
        <v>1.61492957746479</v>
      </c>
    </row>
    <row r="6" ht="18.75" customHeight="1" spans="1:15">
      <c r="A6" s="21" t="s">
        <v>15</v>
      </c>
      <c r="B6" s="17">
        <f>SUM(B7:B19)</f>
        <v>37700</v>
      </c>
      <c r="C6" s="17">
        <f>SUM(C7:C19)</f>
        <v>33239</v>
      </c>
      <c r="D6" s="17">
        <f>SUM(D7:D19)</f>
        <v>33379</v>
      </c>
      <c r="E6" s="18">
        <f t="shared" si="0"/>
        <v>1.00421191973284</v>
      </c>
      <c r="F6" s="1" t="s">
        <v>228</v>
      </c>
      <c r="G6" s="51">
        <v>12793</v>
      </c>
      <c r="H6" s="22">
        <v>17580</v>
      </c>
      <c r="I6" s="23">
        <v>16015</v>
      </c>
      <c r="J6" s="5">
        <f t="shared" si="1"/>
        <v>0.910978384527873</v>
      </c>
      <c r="K6" s="16" t="s">
        <v>461</v>
      </c>
      <c r="L6" s="41">
        <f>SUM(L7:L10)</f>
        <v>13660</v>
      </c>
      <c r="M6" s="41">
        <f>SUM(M7:M10)</f>
        <v>5700</v>
      </c>
      <c r="N6" s="41">
        <f>SUM(N7:N10)</f>
        <v>10033</v>
      </c>
      <c r="O6" s="18">
        <f t="shared" si="2"/>
        <v>1.76017543859649</v>
      </c>
    </row>
    <row r="7" ht="18.75" customHeight="1" spans="1:15">
      <c r="A7" s="1" t="s">
        <v>441</v>
      </c>
      <c r="B7" s="24">
        <v>6989</v>
      </c>
      <c r="C7" s="24">
        <v>6146</v>
      </c>
      <c r="D7" s="24">
        <v>6116</v>
      </c>
      <c r="E7" s="5">
        <f t="shared" si="0"/>
        <v>0.995118776439961</v>
      </c>
      <c r="F7" s="1" t="s">
        <v>442</v>
      </c>
      <c r="G7" s="4">
        <v>4901</v>
      </c>
      <c r="H7" s="22">
        <v>4652</v>
      </c>
      <c r="I7" s="23">
        <v>4652</v>
      </c>
      <c r="J7" s="5">
        <f t="shared" si="1"/>
        <v>1</v>
      </c>
      <c r="K7" s="42" t="s">
        <v>331</v>
      </c>
      <c r="L7" s="43">
        <v>60</v>
      </c>
      <c r="M7" s="43">
        <v>100</v>
      </c>
      <c r="N7" s="43">
        <v>95</v>
      </c>
      <c r="O7" s="5">
        <f t="shared" si="2"/>
        <v>0.95</v>
      </c>
    </row>
    <row r="8" ht="18.75" customHeight="1" spans="1:15">
      <c r="A8" s="1" t="s">
        <v>301</v>
      </c>
      <c r="B8" s="24">
        <v>13518</v>
      </c>
      <c r="C8" s="24">
        <v>12950</v>
      </c>
      <c r="D8" s="24">
        <v>12619</v>
      </c>
      <c r="E8" s="5">
        <f t="shared" si="0"/>
        <v>0.974440154440154</v>
      </c>
      <c r="F8" s="1" t="s">
        <v>443</v>
      </c>
      <c r="G8" s="4">
        <v>1533</v>
      </c>
      <c r="H8" s="22">
        <v>1984</v>
      </c>
      <c r="I8" s="23">
        <v>1981</v>
      </c>
      <c r="J8" s="5">
        <f t="shared" si="1"/>
        <v>0.998487903225806</v>
      </c>
      <c r="K8" s="42" t="s">
        <v>462</v>
      </c>
      <c r="L8" s="43">
        <v>13000</v>
      </c>
      <c r="M8" s="43">
        <v>5000</v>
      </c>
      <c r="N8" s="43">
        <f>9265+278+21</f>
        <v>9564</v>
      </c>
      <c r="O8" s="5">
        <f t="shared" si="2"/>
        <v>1.9128</v>
      </c>
    </row>
    <row r="9" ht="18.75" customHeight="1" spans="1:15">
      <c r="A9" s="1" t="s">
        <v>30</v>
      </c>
      <c r="B9" s="24">
        <v>3234</v>
      </c>
      <c r="C9" s="24">
        <v>3214</v>
      </c>
      <c r="D9" s="24">
        <v>3323</v>
      </c>
      <c r="E9" s="5">
        <f t="shared" si="0"/>
        <v>1.03391412570006</v>
      </c>
      <c r="F9" s="1" t="s">
        <v>445</v>
      </c>
      <c r="G9" s="4">
        <v>58</v>
      </c>
      <c r="H9" s="22">
        <v>69</v>
      </c>
      <c r="I9" s="23">
        <v>69</v>
      </c>
      <c r="J9" s="5">
        <f t="shared" si="1"/>
        <v>1</v>
      </c>
      <c r="K9" s="42" t="s">
        <v>444</v>
      </c>
      <c r="L9" s="43">
        <v>400</v>
      </c>
      <c r="M9" s="43">
        <v>400</v>
      </c>
      <c r="N9" s="43">
        <v>300</v>
      </c>
      <c r="O9" s="5">
        <f t="shared" si="2"/>
        <v>0.75</v>
      </c>
    </row>
    <row r="10" ht="18.75" customHeight="1" spans="1:15">
      <c r="A10" s="1" t="s">
        <v>33</v>
      </c>
      <c r="B10" s="24">
        <v>2782</v>
      </c>
      <c r="C10" s="24">
        <v>3000</v>
      </c>
      <c r="D10" s="24">
        <v>2938</v>
      </c>
      <c r="E10" s="5">
        <f t="shared" si="0"/>
        <v>0.979333333333333</v>
      </c>
      <c r="F10" s="1" t="s">
        <v>447</v>
      </c>
      <c r="G10" s="4">
        <v>263</v>
      </c>
      <c r="H10" s="22">
        <v>402</v>
      </c>
      <c r="I10" s="23">
        <v>379</v>
      </c>
      <c r="J10" s="5">
        <f t="shared" si="1"/>
        <v>0.942786069651741</v>
      </c>
      <c r="K10" s="42" t="s">
        <v>463</v>
      </c>
      <c r="L10" s="43">
        <v>200</v>
      </c>
      <c r="M10" s="43">
        <v>200</v>
      </c>
      <c r="N10" s="43">
        <v>74</v>
      </c>
      <c r="O10" s="5">
        <f t="shared" si="2"/>
        <v>0.37</v>
      </c>
    </row>
    <row r="11" ht="18.75" customHeight="1" spans="1:15">
      <c r="A11" s="1" t="s">
        <v>36</v>
      </c>
      <c r="B11" s="24">
        <v>2000</v>
      </c>
      <c r="C11" s="24">
        <v>1100</v>
      </c>
      <c r="D11" s="24">
        <v>1145</v>
      </c>
      <c r="E11" s="5">
        <f t="shared" si="0"/>
        <v>1.04090909090909</v>
      </c>
      <c r="F11" s="1" t="s">
        <v>229</v>
      </c>
      <c r="G11" s="4">
        <v>190</v>
      </c>
      <c r="H11" s="22">
        <v>236</v>
      </c>
      <c r="I11" s="23">
        <v>236</v>
      </c>
      <c r="J11" s="5">
        <f t="shared" si="1"/>
        <v>1</v>
      </c>
      <c r="K11" s="16" t="s">
        <v>465</v>
      </c>
      <c r="L11" s="41">
        <v>1300</v>
      </c>
      <c r="M11" s="41">
        <v>1400</v>
      </c>
      <c r="N11" s="41">
        <v>1433</v>
      </c>
      <c r="O11" s="18">
        <f t="shared" si="2"/>
        <v>1.02357142857143</v>
      </c>
    </row>
    <row r="12" ht="18.75" customHeight="1" spans="1:15">
      <c r="A12" s="1" t="s">
        <v>39</v>
      </c>
      <c r="B12" s="24">
        <v>1800</v>
      </c>
      <c r="C12" s="24">
        <v>1350</v>
      </c>
      <c r="D12" s="24">
        <v>1437</v>
      </c>
      <c r="E12" s="5">
        <f t="shared" si="0"/>
        <v>1.06444444444444</v>
      </c>
      <c r="F12" s="1" t="s">
        <v>231</v>
      </c>
      <c r="G12" s="4">
        <v>5005</v>
      </c>
      <c r="H12" s="22">
        <v>6672</v>
      </c>
      <c r="I12" s="23">
        <v>5912</v>
      </c>
      <c r="J12" s="5">
        <f t="shared" si="1"/>
        <v>0.886091127098321</v>
      </c>
      <c r="K12" s="21" t="s">
        <v>32</v>
      </c>
      <c r="L12" s="21"/>
      <c r="M12" s="43"/>
      <c r="N12" s="44">
        <v>3077</v>
      </c>
      <c r="O12" s="4"/>
    </row>
    <row r="13" ht="18.75" customHeight="1" spans="1:15">
      <c r="A13" s="1" t="s">
        <v>42</v>
      </c>
      <c r="B13" s="24">
        <v>1477</v>
      </c>
      <c r="C13" s="24">
        <v>1100</v>
      </c>
      <c r="D13" s="24">
        <v>1089</v>
      </c>
      <c r="E13" s="5">
        <f t="shared" si="0"/>
        <v>0.99</v>
      </c>
      <c r="F13" s="1" t="s">
        <v>233</v>
      </c>
      <c r="G13" s="4">
        <v>30900</v>
      </c>
      <c r="H13" s="22">
        <v>35255</v>
      </c>
      <c r="I13" s="23">
        <v>34255</v>
      </c>
      <c r="J13" s="5">
        <f t="shared" si="1"/>
        <v>0.971635229045525</v>
      </c>
      <c r="K13" s="21" t="s">
        <v>35</v>
      </c>
      <c r="L13" s="21"/>
      <c r="M13" s="43"/>
      <c r="N13" s="45">
        <f>1974+122</f>
        <v>2096</v>
      </c>
      <c r="O13" s="45"/>
    </row>
    <row r="14" ht="18.75" customHeight="1" spans="1:15">
      <c r="A14" s="1" t="s">
        <v>45</v>
      </c>
      <c r="B14" s="24">
        <v>500</v>
      </c>
      <c r="C14" s="24">
        <v>350</v>
      </c>
      <c r="D14" s="24">
        <v>340</v>
      </c>
      <c r="E14" s="5">
        <f t="shared" si="0"/>
        <v>0.971428571428571</v>
      </c>
      <c r="F14" s="1" t="s">
        <v>235</v>
      </c>
      <c r="G14" s="4">
        <v>975</v>
      </c>
      <c r="H14" s="22">
        <v>1359</v>
      </c>
      <c r="I14" s="23">
        <v>1319</v>
      </c>
      <c r="J14" s="5">
        <f t="shared" si="1"/>
        <v>0.970566593083149</v>
      </c>
      <c r="K14" s="46" t="s">
        <v>41</v>
      </c>
      <c r="L14" s="32">
        <f>SUM(L13,L12,L5)</f>
        <v>14960</v>
      </c>
      <c r="M14" s="43"/>
      <c r="N14" s="32">
        <f>SUM(N13,N12,N5)</f>
        <v>16639</v>
      </c>
      <c r="O14" s="4"/>
    </row>
    <row r="15" ht="18.75" customHeight="1" spans="1:15">
      <c r="A15" s="1" t="s">
        <v>47</v>
      </c>
      <c r="B15" s="24">
        <v>2200</v>
      </c>
      <c r="C15" s="24">
        <v>1500</v>
      </c>
      <c r="D15" s="24">
        <v>1489</v>
      </c>
      <c r="E15" s="5">
        <f t="shared" si="0"/>
        <v>0.992666666666667</v>
      </c>
      <c r="F15" s="1" t="s">
        <v>237</v>
      </c>
      <c r="G15" s="4">
        <v>951</v>
      </c>
      <c r="H15" s="22">
        <v>1237</v>
      </c>
      <c r="I15" s="23">
        <v>1191</v>
      </c>
      <c r="J15" s="5">
        <f t="shared" si="1"/>
        <v>0.962813257881972</v>
      </c>
      <c r="K15" s="46"/>
      <c r="L15" s="32"/>
      <c r="M15" s="43"/>
      <c r="N15" s="32"/>
      <c r="O15" s="4"/>
    </row>
    <row r="16" ht="18.75" customHeight="1" spans="1:15">
      <c r="A16" s="1" t="s">
        <v>50</v>
      </c>
      <c r="B16" s="24">
        <v>800</v>
      </c>
      <c r="C16" s="24">
        <v>800</v>
      </c>
      <c r="D16" s="24">
        <v>1063</v>
      </c>
      <c r="E16" s="5">
        <f t="shared" si="0"/>
        <v>1.32875</v>
      </c>
      <c r="F16" s="1" t="s">
        <v>239</v>
      </c>
      <c r="G16" s="4">
        <v>2122</v>
      </c>
      <c r="H16" s="22">
        <v>5237</v>
      </c>
      <c r="I16" s="23">
        <v>4932</v>
      </c>
      <c r="J16" s="5">
        <f t="shared" si="1"/>
        <v>0.941760549933168</v>
      </c>
      <c r="K16" s="47" t="s">
        <v>306</v>
      </c>
      <c r="L16" s="47"/>
      <c r="M16" s="47"/>
      <c r="N16" s="47"/>
      <c r="O16" s="47"/>
    </row>
    <row r="17" ht="18.75" customHeight="1" spans="1:15">
      <c r="A17" s="1" t="s">
        <v>53</v>
      </c>
      <c r="B17" s="24">
        <v>400</v>
      </c>
      <c r="C17" s="24">
        <v>400</v>
      </c>
      <c r="D17" s="24">
        <v>385</v>
      </c>
      <c r="E17" s="5">
        <f t="shared" si="0"/>
        <v>0.9625</v>
      </c>
      <c r="F17" s="1" t="s">
        <v>273</v>
      </c>
      <c r="G17" s="4">
        <v>3522</v>
      </c>
      <c r="H17" s="22">
        <v>12680</v>
      </c>
      <c r="I17" s="23">
        <v>11686</v>
      </c>
      <c r="J17" s="55">
        <f t="shared" si="1"/>
        <v>0.921608832807571</v>
      </c>
      <c r="K17" s="15" t="s">
        <v>6</v>
      </c>
      <c r="L17" s="15" t="s">
        <v>455</v>
      </c>
      <c r="M17" s="15" t="s">
        <v>456</v>
      </c>
      <c r="N17" s="15" t="s">
        <v>131</v>
      </c>
      <c r="O17" s="15" t="s">
        <v>132</v>
      </c>
    </row>
    <row r="18" ht="18.75" customHeight="1" spans="1:15">
      <c r="A18" s="1" t="s">
        <v>247</v>
      </c>
      <c r="B18" s="24">
        <v>700</v>
      </c>
      <c r="C18" s="24">
        <v>100</v>
      </c>
      <c r="D18" s="24">
        <v>149</v>
      </c>
      <c r="E18" s="5">
        <f t="shared" si="0"/>
        <v>1.49</v>
      </c>
      <c r="F18" s="1" t="s">
        <v>466</v>
      </c>
      <c r="G18" s="4">
        <v>484</v>
      </c>
      <c r="H18" s="22">
        <v>2873</v>
      </c>
      <c r="I18" s="23">
        <v>2162</v>
      </c>
      <c r="J18" s="5">
        <f t="shared" si="1"/>
        <v>0.752523494604943</v>
      </c>
      <c r="K18" s="16" t="s">
        <v>144</v>
      </c>
      <c r="L18" s="17">
        <f>SUM(L19,L38)</f>
        <v>14960</v>
      </c>
      <c r="M18" s="17">
        <f>SUM(M19,M38)</f>
        <v>16517</v>
      </c>
      <c r="N18" s="17">
        <f>SUM(N19,N38)</f>
        <v>14493</v>
      </c>
      <c r="O18" s="18">
        <f t="shared" ref="O18:O38" si="3">N18/M18</f>
        <v>0.877459587092087</v>
      </c>
    </row>
    <row r="19" ht="18.75" customHeight="1" spans="1:15">
      <c r="A19" s="1" t="s">
        <v>250</v>
      </c>
      <c r="B19" s="24">
        <v>1300</v>
      </c>
      <c r="C19" s="24">
        <v>1229</v>
      </c>
      <c r="D19" s="24">
        <v>1286</v>
      </c>
      <c r="E19" s="5">
        <f t="shared" si="0"/>
        <v>1.04637917005696</v>
      </c>
      <c r="F19" s="1" t="s">
        <v>274</v>
      </c>
      <c r="G19" s="4">
        <v>2982</v>
      </c>
      <c r="H19" s="22">
        <v>4942</v>
      </c>
      <c r="I19" s="23">
        <v>4536</v>
      </c>
      <c r="J19" s="5">
        <f t="shared" si="1"/>
        <v>0.917847025495751</v>
      </c>
      <c r="K19" s="16" t="s">
        <v>467</v>
      </c>
      <c r="L19" s="17">
        <f>SUM(L20:L37)</f>
        <v>13660</v>
      </c>
      <c r="M19" s="17">
        <f>SUM(M20:M37)</f>
        <v>15084</v>
      </c>
      <c r="N19" s="17">
        <f>SUM(N20:N37)</f>
        <v>13057</v>
      </c>
      <c r="O19" s="18">
        <f t="shared" si="3"/>
        <v>0.865619199151419</v>
      </c>
    </row>
    <row r="20" ht="18.75" customHeight="1" spans="1:15">
      <c r="A20" s="21" t="s">
        <v>68</v>
      </c>
      <c r="B20" s="17">
        <f>SUM(B21,B26:B29)</f>
        <v>19590</v>
      </c>
      <c r="C20" s="17">
        <f>SUM(C21,C26:C29)</f>
        <v>20061</v>
      </c>
      <c r="D20" s="17">
        <f>SUM(D21,D26:D29)</f>
        <v>20123</v>
      </c>
      <c r="E20" s="18">
        <f t="shared" si="0"/>
        <v>1.00309057375006</v>
      </c>
      <c r="F20" s="1" t="s">
        <v>275</v>
      </c>
      <c r="G20" s="4">
        <v>5270</v>
      </c>
      <c r="H20" s="22">
        <v>13458</v>
      </c>
      <c r="I20" s="23">
        <v>12113</v>
      </c>
      <c r="J20" s="5">
        <f t="shared" si="1"/>
        <v>0.90005944419676</v>
      </c>
      <c r="K20" s="42" t="s">
        <v>468</v>
      </c>
      <c r="L20" s="43"/>
      <c r="M20" s="43">
        <v>498</v>
      </c>
      <c r="N20" s="43">
        <v>447</v>
      </c>
      <c r="O20" s="5">
        <f t="shared" si="3"/>
        <v>0.897590361445783</v>
      </c>
    </row>
    <row r="21" ht="18.75" customHeight="1" spans="1:15">
      <c r="A21" s="21" t="s">
        <v>71</v>
      </c>
      <c r="B21" s="17">
        <f>SUM(B22:B25)</f>
        <v>790</v>
      </c>
      <c r="C21" s="17">
        <f>SUM(C22:C25)</f>
        <v>670</v>
      </c>
      <c r="D21" s="17">
        <f>SUM(D22:D25)</f>
        <v>790</v>
      </c>
      <c r="E21" s="18">
        <f t="shared" si="0"/>
        <v>1.17910447761194</v>
      </c>
      <c r="F21" s="1" t="s">
        <v>244</v>
      </c>
      <c r="G21" s="4">
        <v>1130</v>
      </c>
      <c r="H21" s="22">
        <v>3154</v>
      </c>
      <c r="I21" s="23">
        <v>2658</v>
      </c>
      <c r="J21" s="5">
        <f t="shared" si="1"/>
        <v>0.842739378566899</v>
      </c>
      <c r="K21" s="42" t="s">
        <v>469</v>
      </c>
      <c r="L21" s="43"/>
      <c r="M21" s="43">
        <v>262</v>
      </c>
      <c r="N21" s="43">
        <v>137</v>
      </c>
      <c r="O21" s="5">
        <f t="shared" si="3"/>
        <v>0.522900763358779</v>
      </c>
    </row>
    <row r="22" ht="18.75" customHeight="1" spans="1:15">
      <c r="A22" s="1" t="s">
        <v>398</v>
      </c>
      <c r="B22" s="24">
        <v>90</v>
      </c>
      <c r="C22" s="24">
        <v>70</v>
      </c>
      <c r="D22" s="24">
        <v>107</v>
      </c>
      <c r="E22" s="5">
        <f t="shared" si="0"/>
        <v>1.52857142857143</v>
      </c>
      <c r="F22" s="1" t="s">
        <v>492</v>
      </c>
      <c r="G22" s="4">
        <v>1715</v>
      </c>
      <c r="H22" s="22">
        <v>2332</v>
      </c>
      <c r="I22" s="23">
        <v>2065</v>
      </c>
      <c r="J22" s="5">
        <f t="shared" si="1"/>
        <v>0.885506003430532</v>
      </c>
      <c r="K22" s="42" t="s">
        <v>470</v>
      </c>
      <c r="L22" s="43"/>
      <c r="M22" s="43">
        <v>786</v>
      </c>
      <c r="N22" s="43">
        <v>633</v>
      </c>
      <c r="O22" s="5">
        <f t="shared" si="3"/>
        <v>0.805343511450382</v>
      </c>
    </row>
    <row r="23" ht="18.75" customHeight="1" spans="1:15">
      <c r="A23" s="1" t="s">
        <v>312</v>
      </c>
      <c r="B23" s="24">
        <v>700</v>
      </c>
      <c r="C23" s="24">
        <v>600</v>
      </c>
      <c r="D23" s="24">
        <v>643</v>
      </c>
      <c r="E23" s="5">
        <f t="shared" si="0"/>
        <v>1.07166666666667</v>
      </c>
      <c r="F23" s="1" t="s">
        <v>493</v>
      </c>
      <c r="G23" s="4">
        <v>1394</v>
      </c>
      <c r="H23" s="22">
        <v>2691</v>
      </c>
      <c r="I23" s="23">
        <v>2579</v>
      </c>
      <c r="J23" s="5">
        <f t="shared" si="1"/>
        <v>0.958379784466741</v>
      </c>
      <c r="K23" s="42" t="s">
        <v>471</v>
      </c>
      <c r="L23" s="43"/>
      <c r="M23" s="43">
        <v>23</v>
      </c>
      <c r="N23" s="43">
        <v>23</v>
      </c>
      <c r="O23" s="5">
        <f t="shared" si="3"/>
        <v>1</v>
      </c>
    </row>
    <row r="24" ht="18.75" customHeight="1" spans="1:15">
      <c r="A24" s="1" t="s">
        <v>494</v>
      </c>
      <c r="B24" s="24"/>
      <c r="C24" s="24"/>
      <c r="D24" s="24">
        <v>40</v>
      </c>
      <c r="E24" s="5"/>
      <c r="F24" s="1" t="s">
        <v>495</v>
      </c>
      <c r="G24" s="4">
        <f>3945+500</f>
        <v>4445</v>
      </c>
      <c r="H24" s="22">
        <v>2235</v>
      </c>
      <c r="I24" s="23">
        <v>906</v>
      </c>
      <c r="J24" s="5">
        <f t="shared" si="1"/>
        <v>0.405369127516779</v>
      </c>
      <c r="K24" s="42" t="s">
        <v>472</v>
      </c>
      <c r="L24" s="43">
        <v>60</v>
      </c>
      <c r="M24" s="43">
        <v>108</v>
      </c>
      <c r="N24" s="43">
        <v>90</v>
      </c>
      <c r="O24" s="5">
        <f t="shared" si="3"/>
        <v>0.833333333333333</v>
      </c>
    </row>
    <row r="25" ht="18.75" customHeight="1" spans="1:15">
      <c r="A25" s="25" t="s">
        <v>345</v>
      </c>
      <c r="B25" s="24"/>
      <c r="C25" s="24"/>
      <c r="D25" s="24"/>
      <c r="E25" s="1"/>
      <c r="F25" s="26" t="s">
        <v>78</v>
      </c>
      <c r="G25" s="27">
        <f>SUM(G26:G28)</f>
        <v>717</v>
      </c>
      <c r="H25" s="27">
        <f>SUM(H26:H28)</f>
        <v>1150</v>
      </c>
      <c r="I25" s="27">
        <f>SUM(I26:I28)</f>
        <v>1150</v>
      </c>
      <c r="J25" s="5"/>
      <c r="K25" s="42" t="s">
        <v>473</v>
      </c>
      <c r="L25" s="43"/>
      <c r="M25" s="43">
        <v>181</v>
      </c>
      <c r="N25" s="43">
        <v>0</v>
      </c>
      <c r="O25" s="5">
        <f t="shared" si="3"/>
        <v>0</v>
      </c>
    </row>
    <row r="26" ht="18.75" customHeight="1" spans="1:15">
      <c r="A26" s="1" t="s">
        <v>77</v>
      </c>
      <c r="B26" s="24">
        <v>2188</v>
      </c>
      <c r="C26" s="24">
        <v>2400</v>
      </c>
      <c r="D26" s="24">
        <v>2669</v>
      </c>
      <c r="E26" s="5">
        <f>D26/C26</f>
        <v>1.11208333333333</v>
      </c>
      <c r="F26" s="1" t="s">
        <v>81</v>
      </c>
      <c r="G26" s="4">
        <v>417</v>
      </c>
      <c r="H26" s="22">
        <v>417</v>
      </c>
      <c r="I26" s="23">
        <v>417</v>
      </c>
      <c r="J26" s="5"/>
      <c r="K26" s="42" t="s">
        <v>474</v>
      </c>
      <c r="L26" s="43">
        <v>13000</v>
      </c>
      <c r="M26" s="43">
        <v>10044</v>
      </c>
      <c r="N26" s="43">
        <v>9890</v>
      </c>
      <c r="O26" s="5">
        <f t="shared" si="3"/>
        <v>0.984667463162087</v>
      </c>
    </row>
    <row r="27" ht="18.75" customHeight="1" spans="1:15">
      <c r="A27" s="1" t="s">
        <v>80</v>
      </c>
      <c r="B27" s="24">
        <v>1406</v>
      </c>
      <c r="C27" s="24">
        <v>1500</v>
      </c>
      <c r="D27" s="24">
        <v>1546</v>
      </c>
      <c r="E27" s="5">
        <f>D27/C27</f>
        <v>1.03066666666667</v>
      </c>
      <c r="F27" s="1" t="s">
        <v>84</v>
      </c>
      <c r="H27" s="23">
        <v>733</v>
      </c>
      <c r="I27" s="23">
        <v>733</v>
      </c>
      <c r="J27" s="5"/>
      <c r="K27" s="42" t="s">
        <v>476</v>
      </c>
      <c r="L27" s="43">
        <v>400</v>
      </c>
      <c r="M27" s="43">
        <v>614</v>
      </c>
      <c r="N27" s="43">
        <v>256</v>
      </c>
      <c r="O27" s="5">
        <f t="shared" si="3"/>
        <v>0.416938110749186</v>
      </c>
    </row>
    <row r="28" ht="18.75" customHeight="1" spans="1:15">
      <c r="A28" s="1" t="s">
        <v>155</v>
      </c>
      <c r="B28" s="24">
        <v>5350</v>
      </c>
      <c r="C28" s="24">
        <v>5700</v>
      </c>
      <c r="D28" s="24">
        <v>5602</v>
      </c>
      <c r="E28" s="5">
        <f>D28/C28</f>
        <v>0.98280701754386</v>
      </c>
      <c r="F28" s="1" t="s">
        <v>480</v>
      </c>
      <c r="G28" s="4">
        <v>300</v>
      </c>
      <c r="I28" s="1"/>
      <c r="J28" s="1"/>
      <c r="K28" s="42" t="s">
        <v>477</v>
      </c>
      <c r="L28" s="43"/>
      <c r="M28" s="43">
        <v>278</v>
      </c>
      <c r="N28" s="43">
        <v>270</v>
      </c>
      <c r="O28" s="5">
        <f t="shared" si="3"/>
        <v>0.971223021582734</v>
      </c>
    </row>
    <row r="29" ht="18.75" customHeight="1" spans="1:15">
      <c r="A29" s="1" t="s">
        <v>452</v>
      </c>
      <c r="B29" s="24">
        <v>9856</v>
      </c>
      <c r="C29" s="24">
        <v>9791</v>
      </c>
      <c r="D29" s="24">
        <f>19+9497</f>
        <v>9516</v>
      </c>
      <c r="E29" s="5">
        <f>D29/C29</f>
        <v>0.971912981309366</v>
      </c>
      <c r="F29" s="21" t="s">
        <v>453</v>
      </c>
      <c r="G29" s="45"/>
      <c r="H29" s="22"/>
      <c r="I29" s="20">
        <v>9376</v>
      </c>
      <c r="J29" s="5"/>
      <c r="K29" s="42" t="s">
        <v>478</v>
      </c>
      <c r="L29" s="43"/>
      <c r="M29" s="43">
        <v>185</v>
      </c>
      <c r="N29" s="43">
        <v>119</v>
      </c>
      <c r="O29" s="5">
        <f t="shared" si="3"/>
        <v>0.643243243243243</v>
      </c>
    </row>
    <row r="30" ht="18.75" customHeight="1" spans="1:15">
      <c r="A30" s="28" t="s">
        <v>94</v>
      </c>
      <c r="B30" s="17">
        <f>SUM(B31:B36)</f>
        <v>17305</v>
      </c>
      <c r="C30" s="17">
        <f>SUM(C31:C36)</f>
        <v>17505</v>
      </c>
      <c r="D30" s="17">
        <f>SUM(D31:D36)</f>
        <v>45856</v>
      </c>
      <c r="E30" s="5"/>
      <c r="F30" s="1" t="s">
        <v>100</v>
      </c>
      <c r="G30" s="4"/>
      <c r="H30" s="22"/>
      <c r="I30" s="23">
        <v>9376</v>
      </c>
      <c r="J30" s="5"/>
      <c r="K30" s="42" t="s">
        <v>479</v>
      </c>
      <c r="L30" s="43"/>
      <c r="M30" s="43">
        <v>585</v>
      </c>
      <c r="N30" s="43">
        <v>391</v>
      </c>
      <c r="O30" s="5">
        <f t="shared" si="3"/>
        <v>0.668376068376068</v>
      </c>
    </row>
    <row r="31" ht="18.75" customHeight="1" spans="1:15">
      <c r="A31" s="29" t="s">
        <v>96</v>
      </c>
      <c r="B31" s="24">
        <f>1671+5247</f>
        <v>6918</v>
      </c>
      <c r="C31" s="24">
        <f>1671+5247</f>
        <v>6918</v>
      </c>
      <c r="D31" s="24">
        <f>1671+5247+659</f>
        <v>7577</v>
      </c>
      <c r="E31" s="5"/>
      <c r="F31" s="21" t="s">
        <v>103</v>
      </c>
      <c r="G31" s="17">
        <f>SUM(G5,G25,G29)</f>
        <v>74595</v>
      </c>
      <c r="H31" s="52"/>
      <c r="I31" s="17">
        <f>SUM(I5,I25,I29)</f>
        <v>113091</v>
      </c>
      <c r="J31" s="4"/>
      <c r="K31" s="42" t="s">
        <v>403</v>
      </c>
      <c r="L31" s="43"/>
      <c r="M31" s="43">
        <v>70</v>
      </c>
      <c r="N31" s="43">
        <v>70</v>
      </c>
      <c r="O31" s="5">
        <f t="shared" si="3"/>
        <v>1</v>
      </c>
    </row>
    <row r="32" ht="18.75" customHeight="1" spans="1:15">
      <c r="A32" s="29" t="s">
        <v>99</v>
      </c>
      <c r="B32" s="24">
        <v>10387</v>
      </c>
      <c r="C32" s="24">
        <v>10587</v>
      </c>
      <c r="D32" s="24">
        <v>13139</v>
      </c>
      <c r="E32" s="5"/>
      <c r="F32" s="30" t="s">
        <v>355</v>
      </c>
      <c r="G32" s="31"/>
      <c r="H32" s="31"/>
      <c r="I32" s="31"/>
      <c r="J32" s="48"/>
      <c r="K32" s="42" t="s">
        <v>481</v>
      </c>
      <c r="L32" s="43">
        <v>200</v>
      </c>
      <c r="M32" s="43">
        <v>331</v>
      </c>
      <c r="N32" s="43">
        <v>257</v>
      </c>
      <c r="O32" s="5">
        <f t="shared" si="3"/>
        <v>0.776435045317221</v>
      </c>
    </row>
    <row r="33" ht="18.75" customHeight="1" spans="1:15">
      <c r="A33" s="29" t="s">
        <v>102</v>
      </c>
      <c r="B33" s="24"/>
      <c r="C33" s="24"/>
      <c r="D33" s="24">
        <v>25140</v>
      </c>
      <c r="E33" s="5"/>
      <c r="F33" s="15" t="s">
        <v>6</v>
      </c>
      <c r="G33" s="15" t="s">
        <v>455</v>
      </c>
      <c r="H33" s="15" t="s">
        <v>456</v>
      </c>
      <c r="I33" s="15" t="s">
        <v>131</v>
      </c>
      <c r="J33" s="15" t="s">
        <v>132</v>
      </c>
      <c r="K33" s="42" t="s">
        <v>405</v>
      </c>
      <c r="L33" s="43"/>
      <c r="M33" s="43">
        <v>40</v>
      </c>
      <c r="N33" s="43">
        <v>40</v>
      </c>
      <c r="O33" s="5">
        <f t="shared" si="3"/>
        <v>1</v>
      </c>
    </row>
    <row r="34" ht="18.75" customHeight="1" spans="1:15">
      <c r="A34" s="1"/>
      <c r="B34" s="24"/>
      <c r="C34" s="24"/>
      <c r="D34" s="24"/>
      <c r="E34" s="4"/>
      <c r="F34" s="21" t="s">
        <v>383</v>
      </c>
      <c r="G34" s="32">
        <f>B5</f>
        <v>57290</v>
      </c>
      <c r="H34" s="32">
        <f>C5</f>
        <v>53300</v>
      </c>
      <c r="I34" s="32">
        <f>D5</f>
        <v>53502</v>
      </c>
      <c r="J34" s="18">
        <f t="shared" ref="J34:J40" si="4">I34/H34</f>
        <v>1.00378986866792</v>
      </c>
      <c r="K34" s="42" t="s">
        <v>406</v>
      </c>
      <c r="L34" s="43"/>
      <c r="M34" s="43">
        <v>99</v>
      </c>
      <c r="N34" s="43">
        <v>99</v>
      </c>
      <c r="O34" s="5">
        <f t="shared" si="3"/>
        <v>1</v>
      </c>
    </row>
    <row r="35" ht="18.75" customHeight="1" spans="1:15">
      <c r="A35" s="1"/>
      <c r="B35" s="24"/>
      <c r="C35" s="24"/>
      <c r="D35" s="24"/>
      <c r="E35" s="4"/>
      <c r="F35" s="34" t="s">
        <v>359</v>
      </c>
      <c r="G35" s="32">
        <f>SUM(G36:G39)</f>
        <v>30010</v>
      </c>
      <c r="H35" s="32">
        <f>SUM(H36:H39)</f>
        <v>27900</v>
      </c>
      <c r="I35" s="32">
        <f>SUM(I36:I39)</f>
        <v>27863.5</v>
      </c>
      <c r="J35" s="18">
        <f t="shared" si="4"/>
        <v>0.998691756272401</v>
      </c>
      <c r="K35" s="42" t="s">
        <v>482</v>
      </c>
      <c r="L35" s="43"/>
      <c r="M35" s="43">
        <v>365</v>
      </c>
      <c r="N35" s="43">
        <v>332</v>
      </c>
      <c r="O35" s="5">
        <f t="shared" si="3"/>
        <v>0.90958904109589</v>
      </c>
    </row>
    <row r="36" ht="18.75" customHeight="1" spans="1:15">
      <c r="A36" s="29"/>
      <c r="B36" s="24"/>
      <c r="C36" s="4"/>
      <c r="D36" s="24"/>
      <c r="E36" s="4"/>
      <c r="F36" s="35" t="s">
        <v>361</v>
      </c>
      <c r="G36" s="24">
        <f>B7*3</f>
        <v>20967</v>
      </c>
      <c r="H36" s="24">
        <f>C7*3</f>
        <v>18438</v>
      </c>
      <c r="I36" s="24">
        <f>D7*3</f>
        <v>18348</v>
      </c>
      <c r="J36" s="5">
        <f t="shared" si="4"/>
        <v>0.995118776439961</v>
      </c>
      <c r="K36" s="42" t="s">
        <v>496</v>
      </c>
      <c r="L36" s="43"/>
      <c r="M36" s="43">
        <v>3</v>
      </c>
      <c r="N36" s="43">
        <v>3</v>
      </c>
      <c r="O36" s="5">
        <f t="shared" si="3"/>
        <v>1</v>
      </c>
    </row>
    <row r="37" ht="18.75" customHeight="1" spans="1:15">
      <c r="A37" s="33" t="s">
        <v>105</v>
      </c>
      <c r="B37" s="53"/>
      <c r="C37" s="17">
        <v>1880.7</v>
      </c>
      <c r="D37" s="17">
        <v>10283</v>
      </c>
      <c r="E37" s="45"/>
      <c r="F37" s="35" t="s">
        <v>117</v>
      </c>
      <c r="G37" s="24">
        <f t="shared" ref="G37:I38" si="5">B9*1.5</f>
        <v>4851</v>
      </c>
      <c r="H37" s="24">
        <f t="shared" si="5"/>
        <v>4821</v>
      </c>
      <c r="I37" s="24">
        <f t="shared" si="5"/>
        <v>4984.5</v>
      </c>
      <c r="J37" s="5">
        <f t="shared" si="4"/>
        <v>1.03391412570006</v>
      </c>
      <c r="K37" s="42" t="s">
        <v>362</v>
      </c>
      <c r="L37" s="43"/>
      <c r="M37" s="43">
        <v>612</v>
      </c>
      <c r="N37" s="43"/>
      <c r="O37" s="5">
        <f t="shared" si="3"/>
        <v>0</v>
      </c>
    </row>
    <row r="38" ht="18.75" customHeight="1" spans="1:15">
      <c r="A38" s="33" t="s">
        <v>407</v>
      </c>
      <c r="B38" s="1"/>
      <c r="C38" s="17">
        <v>3450</v>
      </c>
      <c r="D38" s="17">
        <v>3450</v>
      </c>
      <c r="E38" s="1"/>
      <c r="F38" s="35" t="s">
        <v>118</v>
      </c>
      <c r="G38" s="24">
        <f t="shared" si="5"/>
        <v>4173</v>
      </c>
      <c r="H38" s="24">
        <f t="shared" si="5"/>
        <v>4500</v>
      </c>
      <c r="I38" s="24">
        <f t="shared" si="5"/>
        <v>4407</v>
      </c>
      <c r="J38" s="5">
        <f t="shared" si="4"/>
        <v>0.979333333333333</v>
      </c>
      <c r="K38" s="16" t="s">
        <v>486</v>
      </c>
      <c r="L38" s="43">
        <v>1300</v>
      </c>
      <c r="M38" s="43">
        <v>1433</v>
      </c>
      <c r="N38" s="43">
        <v>1436</v>
      </c>
      <c r="O38" s="5">
        <f t="shared" si="3"/>
        <v>1.00209351011863</v>
      </c>
    </row>
    <row r="39" ht="18.75" customHeight="1" spans="1:15">
      <c r="A39" s="1"/>
      <c r="B39" s="4"/>
      <c r="C39" s="4"/>
      <c r="D39" s="4"/>
      <c r="E39" s="5"/>
      <c r="F39" s="35" t="s">
        <v>314</v>
      </c>
      <c r="G39" s="24">
        <v>19</v>
      </c>
      <c r="H39" s="24">
        <v>141</v>
      </c>
      <c r="I39" s="24">
        <v>124</v>
      </c>
      <c r="J39" s="5">
        <f t="shared" si="4"/>
        <v>0.879432624113475</v>
      </c>
      <c r="K39" s="21" t="s">
        <v>268</v>
      </c>
      <c r="L39" s="1"/>
      <c r="M39" s="1"/>
      <c r="N39" s="45">
        <f>2027+119</f>
        <v>2146</v>
      </c>
      <c r="O39" s="4"/>
    </row>
    <row r="40" ht="18.75" customHeight="1" spans="1:15">
      <c r="A40" s="28" t="s">
        <v>124</v>
      </c>
      <c r="B40" s="17">
        <f>SUM(B5,B30,B37)</f>
        <v>74595</v>
      </c>
      <c r="C40" s="17"/>
      <c r="D40" s="17">
        <f>SUM(D5,D30,D37:D38)</f>
        <v>113091</v>
      </c>
      <c r="E40" s="5"/>
      <c r="F40" s="36" t="s">
        <v>363</v>
      </c>
      <c r="G40" s="32">
        <f>SUM(G34:G35)</f>
        <v>87300</v>
      </c>
      <c r="H40" s="32">
        <f>SUM(H34:H35)</f>
        <v>81200</v>
      </c>
      <c r="I40" s="32">
        <f>SUM(I34:I35)</f>
        <v>81365.5</v>
      </c>
      <c r="J40" s="18">
        <f t="shared" si="4"/>
        <v>1.0020381773399</v>
      </c>
      <c r="K40" s="21" t="s">
        <v>91</v>
      </c>
      <c r="L40" s="17">
        <f>SUM(L18,L39:L39)</f>
        <v>14960</v>
      </c>
      <c r="M40" s="17"/>
      <c r="N40" s="17">
        <f>SUM(N18,N39:N39)</f>
        <v>16639</v>
      </c>
      <c r="O40" s="4"/>
    </row>
    <row r="41" ht="19.5" customHeight="1" spans="1:2">
      <c r="A41" t="s">
        <v>497</v>
      </c>
      <c r="B41" s="54"/>
    </row>
    <row r="42" ht="19.5" customHeight="1" spans="1:8">
      <c r="A42" s="37"/>
      <c r="B42" s="37"/>
      <c r="H42" s="38"/>
    </row>
    <row r="43" ht="21" customHeight="1"/>
    <row r="44" ht="15.95" customHeight="1"/>
    <row r="45" ht="15.95" customHeight="1"/>
  </sheetData>
  <mergeCells count="6">
    <mergeCell ref="A1:O1"/>
    <mergeCell ref="A3:E3"/>
    <mergeCell ref="F3:J3"/>
    <mergeCell ref="K3:O3"/>
    <mergeCell ref="K16:O16"/>
    <mergeCell ref="F32:J32"/>
  </mergeCells>
  <pageMargins left="0.393055555555556" right="0" top="0.590277777777778" bottom="0.590277777777778" header="0.511805555555556" footer="0.511805555555556"/>
  <pageSetup paperSize="9" scale="6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selection activeCell="K47" sqref="K47"/>
    </sheetView>
  </sheetViews>
  <sheetFormatPr defaultColWidth="9" defaultRowHeight="14.25"/>
  <cols>
    <col min="1" max="1" width="25.875" customWidth="1"/>
    <col min="2" max="2" width="10.625" customWidth="1"/>
    <col min="3" max="3" width="10.8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875" customWidth="1"/>
    <col min="11" max="11" width="35.875" customWidth="1"/>
    <col min="12" max="12" width="10.5" customWidth="1"/>
    <col min="13" max="13" width="10.875" customWidth="1"/>
    <col min="14" max="14" width="7.625" customWidth="1"/>
    <col min="15" max="15" width="10.375" style="6" customWidth="1"/>
    <col min="17" max="17" width="14.375" customWidth="1"/>
  </cols>
  <sheetData>
    <row r="1" ht="33.75" spans="1:15">
      <c r="A1" s="7" t="s">
        <v>498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435</v>
      </c>
      <c r="N2" s="8"/>
      <c r="O2" s="39"/>
    </row>
    <row r="3" ht="18" customHeight="1" spans="1:15">
      <c r="A3" s="9" t="s">
        <v>436</v>
      </c>
      <c r="B3" s="10"/>
      <c r="C3" s="10"/>
      <c r="D3" s="10"/>
      <c r="E3" s="11"/>
      <c r="F3" s="12" t="s">
        <v>437</v>
      </c>
      <c r="G3" s="13"/>
      <c r="H3" s="13"/>
      <c r="I3" s="13"/>
      <c r="J3" s="40"/>
      <c r="K3" s="12" t="s">
        <v>292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499</v>
      </c>
      <c r="C4" s="15" t="s">
        <v>459</v>
      </c>
      <c r="D4" s="15" t="s">
        <v>9</v>
      </c>
      <c r="E4" s="15" t="s">
        <v>10</v>
      </c>
      <c r="F4" s="15" t="s">
        <v>6</v>
      </c>
      <c r="G4" s="15" t="s">
        <v>499</v>
      </c>
      <c r="H4" s="15" t="s">
        <v>459</v>
      </c>
      <c r="I4" s="15" t="s">
        <v>11</v>
      </c>
      <c r="J4" s="15" t="s">
        <v>10</v>
      </c>
      <c r="K4" s="15" t="s">
        <v>6</v>
      </c>
      <c r="L4" s="15" t="s">
        <v>499</v>
      </c>
      <c r="M4" s="15" t="s">
        <v>459</v>
      </c>
      <c r="N4" s="15" t="s">
        <v>9</v>
      </c>
      <c r="O4" s="15" t="s">
        <v>10</v>
      </c>
    </row>
    <row r="5" ht="18" customHeight="1" spans="1:15">
      <c r="A5" s="16" t="s">
        <v>383</v>
      </c>
      <c r="B5" s="17">
        <f>SUM(B6,B20)</f>
        <v>50246</v>
      </c>
      <c r="C5" s="17">
        <f>SUM(C6,C20)</f>
        <v>53502</v>
      </c>
      <c r="D5" s="17">
        <f>C5-B5</f>
        <v>3256</v>
      </c>
      <c r="E5" s="18">
        <f>D5/B5</f>
        <v>0.0648011782032401</v>
      </c>
      <c r="F5" s="16" t="s">
        <v>440</v>
      </c>
      <c r="G5" s="19">
        <f>SUM(G6,G11:G24)</f>
        <v>84494</v>
      </c>
      <c r="H5" s="20">
        <f>SUM(H6,H11:H24)</f>
        <v>102565</v>
      </c>
      <c r="I5" s="17">
        <f>H5-G5</f>
        <v>18071</v>
      </c>
      <c r="J5" s="18">
        <f>I5/G5</f>
        <v>0.213873174426587</v>
      </c>
      <c r="K5" s="16" t="s">
        <v>133</v>
      </c>
      <c r="L5" s="41">
        <f>SUM(L6,L14)</f>
        <v>19725</v>
      </c>
      <c r="M5" s="41">
        <f>SUM(M6,M14)</f>
        <v>11466</v>
      </c>
      <c r="N5" s="41">
        <f>M5-L5</f>
        <v>-8259</v>
      </c>
      <c r="O5" s="18">
        <f>N5/L5</f>
        <v>-0.418707224334601</v>
      </c>
    </row>
    <row r="6" ht="18" customHeight="1" spans="1:15">
      <c r="A6" s="21" t="s">
        <v>15</v>
      </c>
      <c r="B6" s="17">
        <f>SUM(B7:B19)</f>
        <v>32483</v>
      </c>
      <c r="C6" s="17">
        <f>SUM(C7:C19)</f>
        <v>33379</v>
      </c>
      <c r="D6" s="17">
        <f t="shared" ref="D6:D42" si="0">C6-B6</f>
        <v>896</v>
      </c>
      <c r="E6" s="18">
        <f t="shared" ref="E6:E42" si="1">D6/B6</f>
        <v>0.0275836591447834</v>
      </c>
      <c r="F6" s="1" t="s">
        <v>228</v>
      </c>
      <c r="G6" s="22">
        <v>15950</v>
      </c>
      <c r="H6" s="23">
        <v>16015</v>
      </c>
      <c r="I6" s="24">
        <f>H6-G6</f>
        <v>65</v>
      </c>
      <c r="J6" s="5">
        <f>I6/G6</f>
        <v>0.00407523510971787</v>
      </c>
      <c r="K6" s="16" t="s">
        <v>461</v>
      </c>
      <c r="L6" s="41">
        <f>SUM(L7:L13)</f>
        <v>18432</v>
      </c>
      <c r="M6" s="41">
        <f>SUM(M7:M13)</f>
        <v>10033</v>
      </c>
      <c r="N6" s="41">
        <f t="shared" ref="N6:N17" si="2">M6-L6</f>
        <v>-8399</v>
      </c>
      <c r="O6" s="18">
        <f t="shared" ref="O6:O17" si="3">N6/L6</f>
        <v>-0.455674913194444</v>
      </c>
    </row>
    <row r="7" ht="18" customHeight="1" spans="1:15">
      <c r="A7" s="1" t="s">
        <v>441</v>
      </c>
      <c r="B7" s="24">
        <v>6076</v>
      </c>
      <c r="C7" s="24">
        <v>6116</v>
      </c>
      <c r="D7" s="24">
        <f t="shared" si="0"/>
        <v>40</v>
      </c>
      <c r="E7" s="5">
        <f t="shared" si="1"/>
        <v>0.00658327847267939</v>
      </c>
      <c r="F7" s="1" t="s">
        <v>442</v>
      </c>
      <c r="G7" s="22">
        <v>4084</v>
      </c>
      <c r="H7" s="23">
        <v>4652</v>
      </c>
      <c r="I7" s="24">
        <f t="shared" ref="I7:I31" si="4">H7-G7</f>
        <v>568</v>
      </c>
      <c r="J7" s="5">
        <f t="shared" ref="J7:J31" si="5">I7/G7</f>
        <v>0.139079333986288</v>
      </c>
      <c r="K7" s="42" t="s">
        <v>331</v>
      </c>
      <c r="L7" s="43">
        <v>55</v>
      </c>
      <c r="M7" s="43">
        <v>95</v>
      </c>
      <c r="N7" s="43">
        <f t="shared" si="2"/>
        <v>40</v>
      </c>
      <c r="O7" s="5">
        <f t="shared" si="3"/>
        <v>0.727272727272727</v>
      </c>
    </row>
    <row r="8" ht="18" customHeight="1" spans="1:15">
      <c r="A8" s="1" t="s">
        <v>301</v>
      </c>
      <c r="B8" s="24">
        <v>11781</v>
      </c>
      <c r="C8" s="24">
        <v>12619</v>
      </c>
      <c r="D8" s="24">
        <f t="shared" si="0"/>
        <v>838</v>
      </c>
      <c r="E8" s="5">
        <f t="shared" si="1"/>
        <v>0.0711314828961888</v>
      </c>
      <c r="F8" s="1" t="s">
        <v>443</v>
      </c>
      <c r="G8" s="22">
        <v>1462</v>
      </c>
      <c r="H8" s="23">
        <v>1981</v>
      </c>
      <c r="I8" s="24">
        <f t="shared" si="4"/>
        <v>519</v>
      </c>
      <c r="J8" s="5">
        <f t="shared" si="5"/>
        <v>0.35499316005472</v>
      </c>
      <c r="K8" s="42" t="s">
        <v>462</v>
      </c>
      <c r="L8" s="43">
        <v>17413</v>
      </c>
      <c r="M8" s="43">
        <f>9265+278+21</f>
        <v>9564</v>
      </c>
      <c r="N8" s="43">
        <f t="shared" si="2"/>
        <v>-7849</v>
      </c>
      <c r="O8" s="5">
        <f t="shared" si="3"/>
        <v>-0.450755182909321</v>
      </c>
    </row>
    <row r="9" ht="18" customHeight="1" spans="1:15">
      <c r="A9" s="1" t="s">
        <v>30</v>
      </c>
      <c r="B9" s="24">
        <v>2937</v>
      </c>
      <c r="C9" s="24">
        <v>3323</v>
      </c>
      <c r="D9" s="24">
        <f t="shared" si="0"/>
        <v>386</v>
      </c>
      <c r="E9" s="5">
        <f t="shared" si="1"/>
        <v>0.131426625808648</v>
      </c>
      <c r="F9" s="1" t="s">
        <v>445</v>
      </c>
      <c r="G9" s="22">
        <v>46</v>
      </c>
      <c r="H9" s="23">
        <v>69</v>
      </c>
      <c r="I9" s="24">
        <f t="shared" si="4"/>
        <v>23</v>
      </c>
      <c r="J9" s="5">
        <f t="shared" si="5"/>
        <v>0.5</v>
      </c>
      <c r="K9" s="42" t="s">
        <v>444</v>
      </c>
      <c r="L9" s="43">
        <v>500</v>
      </c>
      <c r="M9" s="43">
        <v>300</v>
      </c>
      <c r="N9" s="43">
        <f t="shared" si="2"/>
        <v>-200</v>
      </c>
      <c r="O9" s="5">
        <f t="shared" si="3"/>
        <v>-0.4</v>
      </c>
    </row>
    <row r="10" ht="18" customHeight="1" spans="1:15">
      <c r="A10" s="1" t="s">
        <v>33</v>
      </c>
      <c r="B10" s="24">
        <v>2469</v>
      </c>
      <c r="C10" s="24">
        <v>2938</v>
      </c>
      <c r="D10" s="24">
        <f t="shared" si="0"/>
        <v>469</v>
      </c>
      <c r="E10" s="5">
        <f t="shared" si="1"/>
        <v>0.189955447549615</v>
      </c>
      <c r="F10" s="1" t="s">
        <v>447</v>
      </c>
      <c r="G10" s="22">
        <v>338</v>
      </c>
      <c r="H10" s="23">
        <v>379</v>
      </c>
      <c r="I10" s="24">
        <f t="shared" si="4"/>
        <v>41</v>
      </c>
      <c r="J10" s="5">
        <f t="shared" si="5"/>
        <v>0.121301775147929</v>
      </c>
      <c r="K10" s="42" t="s">
        <v>463</v>
      </c>
      <c r="L10" s="43">
        <v>157</v>
      </c>
      <c r="M10" s="43">
        <v>74</v>
      </c>
      <c r="N10" s="43">
        <f t="shared" si="2"/>
        <v>-83</v>
      </c>
      <c r="O10" s="5">
        <f t="shared" si="3"/>
        <v>-0.528662420382166</v>
      </c>
    </row>
    <row r="11" ht="18" customHeight="1" spans="1:15">
      <c r="A11" s="1" t="s">
        <v>36</v>
      </c>
      <c r="B11" s="24">
        <v>1861</v>
      </c>
      <c r="C11" s="24">
        <v>1145</v>
      </c>
      <c r="D11" s="24">
        <f t="shared" si="0"/>
        <v>-716</v>
      </c>
      <c r="E11" s="5">
        <f t="shared" si="1"/>
        <v>-0.384739387426115</v>
      </c>
      <c r="F11" s="1" t="s">
        <v>229</v>
      </c>
      <c r="G11" s="22">
        <v>234</v>
      </c>
      <c r="H11" s="23">
        <v>236</v>
      </c>
      <c r="I11" s="24">
        <f t="shared" si="4"/>
        <v>2</v>
      </c>
      <c r="J11" s="5">
        <f t="shared" si="5"/>
        <v>0.00854700854700855</v>
      </c>
      <c r="K11" s="42" t="s">
        <v>500</v>
      </c>
      <c r="L11" s="43">
        <v>100</v>
      </c>
      <c r="M11" s="43"/>
      <c r="N11" s="43">
        <f t="shared" si="2"/>
        <v>-100</v>
      </c>
      <c r="O11" s="5">
        <f t="shared" si="3"/>
        <v>-1</v>
      </c>
    </row>
    <row r="12" ht="18" customHeight="1" spans="1:15">
      <c r="A12" s="1" t="s">
        <v>39</v>
      </c>
      <c r="B12" s="24">
        <v>1601</v>
      </c>
      <c r="C12" s="24">
        <v>1437</v>
      </c>
      <c r="D12" s="24">
        <f t="shared" si="0"/>
        <v>-164</v>
      </c>
      <c r="E12" s="5">
        <f t="shared" si="1"/>
        <v>-0.102435977514054</v>
      </c>
      <c r="F12" s="1" t="s">
        <v>231</v>
      </c>
      <c r="G12" s="22">
        <v>4867</v>
      </c>
      <c r="H12" s="23">
        <v>5912</v>
      </c>
      <c r="I12" s="24">
        <f t="shared" si="4"/>
        <v>1045</v>
      </c>
      <c r="J12" s="5">
        <f t="shared" si="5"/>
        <v>0.214711321142388</v>
      </c>
      <c r="K12" s="42" t="s">
        <v>501</v>
      </c>
      <c r="L12" s="43">
        <v>7</v>
      </c>
      <c r="M12" s="43"/>
      <c r="N12" s="43">
        <f t="shared" si="2"/>
        <v>-7</v>
      </c>
      <c r="O12" s="5">
        <f t="shared" si="3"/>
        <v>-1</v>
      </c>
    </row>
    <row r="13" ht="18" customHeight="1" spans="1:15">
      <c r="A13" s="1" t="s">
        <v>42</v>
      </c>
      <c r="B13" s="24">
        <v>1076</v>
      </c>
      <c r="C13" s="24">
        <v>1089</v>
      </c>
      <c r="D13" s="24">
        <f t="shared" si="0"/>
        <v>13</v>
      </c>
      <c r="E13" s="5">
        <f t="shared" si="1"/>
        <v>0.0120817843866171</v>
      </c>
      <c r="F13" s="1" t="s">
        <v>233</v>
      </c>
      <c r="G13" s="22">
        <v>30590</v>
      </c>
      <c r="H13" s="23">
        <v>34255</v>
      </c>
      <c r="I13" s="24">
        <f t="shared" si="4"/>
        <v>3665</v>
      </c>
      <c r="J13" s="5">
        <f t="shared" si="5"/>
        <v>0.119810395554103</v>
      </c>
      <c r="K13" s="42" t="s">
        <v>502</v>
      </c>
      <c r="L13" s="43">
        <v>200</v>
      </c>
      <c r="M13" s="43"/>
      <c r="N13" s="43">
        <f t="shared" si="2"/>
        <v>-200</v>
      </c>
      <c r="O13" s="5">
        <f t="shared" si="3"/>
        <v>-1</v>
      </c>
    </row>
    <row r="14" ht="18" customHeight="1" spans="1:15">
      <c r="A14" s="1" t="s">
        <v>45</v>
      </c>
      <c r="B14" s="24">
        <v>340</v>
      </c>
      <c r="C14" s="24">
        <v>340</v>
      </c>
      <c r="D14" s="24">
        <f t="shared" si="0"/>
        <v>0</v>
      </c>
      <c r="E14" s="5">
        <f t="shared" si="1"/>
        <v>0</v>
      </c>
      <c r="F14" s="1" t="s">
        <v>235</v>
      </c>
      <c r="G14" s="22">
        <v>967</v>
      </c>
      <c r="H14" s="23">
        <v>1319</v>
      </c>
      <c r="I14" s="24">
        <f t="shared" si="4"/>
        <v>352</v>
      </c>
      <c r="J14" s="5">
        <f t="shared" si="5"/>
        <v>0.364012409513961</v>
      </c>
      <c r="K14" s="16" t="s">
        <v>465</v>
      </c>
      <c r="L14" s="41">
        <v>1293</v>
      </c>
      <c r="M14" s="41">
        <v>1433</v>
      </c>
      <c r="N14" s="41">
        <f t="shared" si="2"/>
        <v>140</v>
      </c>
      <c r="O14" s="18">
        <f t="shared" si="3"/>
        <v>0.108275328692962</v>
      </c>
    </row>
    <row r="15" ht="18" customHeight="1" spans="1:15">
      <c r="A15" s="1" t="s">
        <v>47</v>
      </c>
      <c r="B15" s="24">
        <v>1820</v>
      </c>
      <c r="C15" s="24">
        <v>1489</v>
      </c>
      <c r="D15" s="24">
        <f t="shared" si="0"/>
        <v>-331</v>
      </c>
      <c r="E15" s="5">
        <f t="shared" si="1"/>
        <v>-0.181868131868132</v>
      </c>
      <c r="F15" s="1" t="s">
        <v>237</v>
      </c>
      <c r="G15" s="22">
        <v>917</v>
      </c>
      <c r="H15" s="23">
        <v>1191</v>
      </c>
      <c r="I15" s="24">
        <f t="shared" si="4"/>
        <v>274</v>
      </c>
      <c r="J15" s="5">
        <f t="shared" si="5"/>
        <v>0.298800436205016</v>
      </c>
      <c r="K15" s="21" t="s">
        <v>32</v>
      </c>
      <c r="L15" s="43">
        <v>3351</v>
      </c>
      <c r="M15" s="44">
        <v>3077</v>
      </c>
      <c r="N15" s="41">
        <f t="shared" si="2"/>
        <v>-274</v>
      </c>
      <c r="O15" s="18">
        <f t="shared" si="3"/>
        <v>-0.0817666368248284</v>
      </c>
    </row>
    <row r="16" ht="18" customHeight="1" spans="1:15">
      <c r="A16" s="1" t="s">
        <v>50</v>
      </c>
      <c r="B16" s="24">
        <v>527</v>
      </c>
      <c r="C16" s="24">
        <v>1063</v>
      </c>
      <c r="D16" s="24">
        <f t="shared" si="0"/>
        <v>536</v>
      </c>
      <c r="E16" s="5">
        <f t="shared" si="1"/>
        <v>1.01707779886148</v>
      </c>
      <c r="F16" s="1" t="s">
        <v>239</v>
      </c>
      <c r="G16" s="22">
        <v>3815</v>
      </c>
      <c r="H16" s="23">
        <v>4932</v>
      </c>
      <c r="I16" s="24">
        <f t="shared" si="4"/>
        <v>1117</v>
      </c>
      <c r="J16" s="5">
        <f t="shared" si="5"/>
        <v>0.292791612057667</v>
      </c>
      <c r="K16" s="21" t="s">
        <v>35</v>
      </c>
      <c r="L16" s="43">
        <v>1618</v>
      </c>
      <c r="M16" s="45">
        <f>1974+122</f>
        <v>2096</v>
      </c>
      <c r="N16" s="41">
        <f t="shared" si="2"/>
        <v>478</v>
      </c>
      <c r="O16" s="18">
        <f t="shared" si="3"/>
        <v>0.295426452410383</v>
      </c>
    </row>
    <row r="17" ht="18" customHeight="1" spans="1:15">
      <c r="A17" s="1" t="s">
        <v>53</v>
      </c>
      <c r="B17" s="24">
        <v>348</v>
      </c>
      <c r="C17" s="24">
        <v>385</v>
      </c>
      <c r="D17" s="24">
        <f t="shared" si="0"/>
        <v>37</v>
      </c>
      <c r="E17" s="5">
        <f t="shared" si="1"/>
        <v>0.10632183908046</v>
      </c>
      <c r="F17" s="1" t="s">
        <v>273</v>
      </c>
      <c r="G17" s="22">
        <v>6034</v>
      </c>
      <c r="H17" s="23">
        <v>11686</v>
      </c>
      <c r="I17" s="24">
        <f t="shared" si="4"/>
        <v>5652</v>
      </c>
      <c r="J17" s="5">
        <f t="shared" si="5"/>
        <v>0.936692078223401</v>
      </c>
      <c r="K17" s="46" t="s">
        <v>41</v>
      </c>
      <c r="L17" s="32">
        <f>SUM(L16,L15,L5)</f>
        <v>24694</v>
      </c>
      <c r="M17" s="32">
        <f>SUM(M16,M15,M5)</f>
        <v>16639</v>
      </c>
      <c r="N17" s="41">
        <f t="shared" si="2"/>
        <v>-8055</v>
      </c>
      <c r="O17" s="18">
        <f t="shared" si="3"/>
        <v>-0.326192597392079</v>
      </c>
    </row>
    <row r="18" ht="18" customHeight="1" spans="1:15">
      <c r="A18" s="1" t="s">
        <v>247</v>
      </c>
      <c r="B18" s="24">
        <v>501</v>
      </c>
      <c r="C18" s="24">
        <v>149</v>
      </c>
      <c r="D18" s="24">
        <f t="shared" si="0"/>
        <v>-352</v>
      </c>
      <c r="E18" s="5">
        <f t="shared" si="1"/>
        <v>-0.702594810379242</v>
      </c>
      <c r="F18" s="1" t="s">
        <v>466</v>
      </c>
      <c r="G18" s="22">
        <v>1513</v>
      </c>
      <c r="H18" s="23">
        <v>2162</v>
      </c>
      <c r="I18" s="24">
        <f t="shared" si="4"/>
        <v>649</v>
      </c>
      <c r="J18" s="5">
        <f t="shared" si="5"/>
        <v>0.428949107732981</v>
      </c>
      <c r="K18" s="47" t="s">
        <v>306</v>
      </c>
      <c r="L18" s="47"/>
      <c r="M18" s="47"/>
      <c r="N18" s="47"/>
      <c r="O18" s="47"/>
    </row>
    <row r="19" ht="18" customHeight="1" spans="1:15">
      <c r="A19" s="1" t="s">
        <v>250</v>
      </c>
      <c r="B19" s="24">
        <v>1146</v>
      </c>
      <c r="C19" s="24">
        <v>1286</v>
      </c>
      <c r="D19" s="24">
        <f t="shared" si="0"/>
        <v>140</v>
      </c>
      <c r="E19" s="5">
        <f t="shared" si="1"/>
        <v>0.12216404886562</v>
      </c>
      <c r="F19" s="1" t="s">
        <v>274</v>
      </c>
      <c r="G19" s="22">
        <v>1555</v>
      </c>
      <c r="H19" s="23">
        <v>4536</v>
      </c>
      <c r="I19" s="24">
        <f t="shared" si="4"/>
        <v>2981</v>
      </c>
      <c r="J19" s="5">
        <f t="shared" si="5"/>
        <v>1.91704180064309</v>
      </c>
      <c r="K19" s="15" t="s">
        <v>6</v>
      </c>
      <c r="L19" s="15" t="s">
        <v>499</v>
      </c>
      <c r="M19" s="15" t="s">
        <v>459</v>
      </c>
      <c r="N19" s="15" t="s">
        <v>11</v>
      </c>
      <c r="O19" s="15" t="s">
        <v>10</v>
      </c>
    </row>
    <row r="20" ht="18" customHeight="1" spans="1:15">
      <c r="A20" s="21" t="s">
        <v>68</v>
      </c>
      <c r="B20" s="17">
        <f>SUM(B21,B26:B29)</f>
        <v>17763</v>
      </c>
      <c r="C20" s="17">
        <f>SUM(C21,C26:C29)</f>
        <v>20123</v>
      </c>
      <c r="D20" s="17">
        <f t="shared" si="0"/>
        <v>2360</v>
      </c>
      <c r="E20" s="18">
        <f t="shared" si="1"/>
        <v>0.13286044024095</v>
      </c>
      <c r="F20" s="1" t="s">
        <v>275</v>
      </c>
      <c r="G20" s="22">
        <v>11069</v>
      </c>
      <c r="H20" s="23">
        <v>12113</v>
      </c>
      <c r="I20" s="24">
        <f t="shared" si="4"/>
        <v>1044</v>
      </c>
      <c r="J20" s="5">
        <f t="shared" si="5"/>
        <v>0.0943174631854729</v>
      </c>
      <c r="K20" s="16" t="s">
        <v>144</v>
      </c>
      <c r="L20" s="17">
        <f>SUM(L21,L40)</f>
        <v>22513</v>
      </c>
      <c r="M20" s="17">
        <f>SUM(M21,M40)</f>
        <v>14493</v>
      </c>
      <c r="N20" s="41">
        <f>M20-L20</f>
        <v>-8020</v>
      </c>
      <c r="O20" s="18">
        <f>N20/L20</f>
        <v>-0.356238617687558</v>
      </c>
    </row>
    <row r="21" ht="18" customHeight="1" spans="1:15">
      <c r="A21" s="21" t="s">
        <v>71</v>
      </c>
      <c r="B21" s="17">
        <f>SUM(B22:B25)</f>
        <v>1117</v>
      </c>
      <c r="C21" s="17">
        <f>SUM(C22:C25)</f>
        <v>790</v>
      </c>
      <c r="D21" s="17">
        <f t="shared" si="0"/>
        <v>-327</v>
      </c>
      <c r="E21" s="18">
        <f t="shared" si="1"/>
        <v>-0.292748433303491</v>
      </c>
      <c r="F21" s="1" t="s">
        <v>244</v>
      </c>
      <c r="G21" s="22">
        <v>2435</v>
      </c>
      <c r="H21" s="23">
        <v>2658</v>
      </c>
      <c r="I21" s="24">
        <f t="shared" si="4"/>
        <v>223</v>
      </c>
      <c r="J21" s="5">
        <f t="shared" si="5"/>
        <v>0.0915811088295688</v>
      </c>
      <c r="K21" s="16" t="s">
        <v>467</v>
      </c>
      <c r="L21" s="17">
        <f>SUM(L22:L39)</f>
        <v>21342</v>
      </c>
      <c r="M21" s="17">
        <f>SUM(M22:M39)</f>
        <v>13057</v>
      </c>
      <c r="N21" s="41">
        <f t="shared" ref="N21:N42" si="6">M21-L21</f>
        <v>-8285</v>
      </c>
      <c r="O21" s="18">
        <f t="shared" ref="O21:O42" si="7">N21/L21</f>
        <v>-0.388201668072346</v>
      </c>
    </row>
    <row r="22" ht="18" customHeight="1" spans="1:15">
      <c r="A22" s="1" t="s">
        <v>398</v>
      </c>
      <c r="B22" s="24">
        <v>127</v>
      </c>
      <c r="C22" s="24">
        <v>107</v>
      </c>
      <c r="D22" s="24">
        <f t="shared" si="0"/>
        <v>-20</v>
      </c>
      <c r="E22" s="5">
        <f t="shared" si="1"/>
        <v>-0.15748031496063</v>
      </c>
      <c r="F22" s="1" t="s">
        <v>492</v>
      </c>
      <c r="G22" s="22">
        <v>2175</v>
      </c>
      <c r="H22" s="23">
        <v>2065</v>
      </c>
      <c r="I22" s="24">
        <f t="shared" si="4"/>
        <v>-110</v>
      </c>
      <c r="J22" s="5">
        <f t="shared" si="5"/>
        <v>-0.0505747126436782</v>
      </c>
      <c r="K22" s="42" t="s">
        <v>468</v>
      </c>
      <c r="L22" s="43">
        <v>246</v>
      </c>
      <c r="M22" s="43">
        <v>447</v>
      </c>
      <c r="N22" s="43">
        <f t="shared" si="6"/>
        <v>201</v>
      </c>
      <c r="O22" s="5">
        <f t="shared" si="7"/>
        <v>0.817073170731707</v>
      </c>
    </row>
    <row r="23" ht="18" customHeight="1" spans="1:15">
      <c r="A23" s="1" t="s">
        <v>312</v>
      </c>
      <c r="B23" s="24">
        <v>621</v>
      </c>
      <c r="C23" s="24">
        <v>643</v>
      </c>
      <c r="D23" s="24">
        <f t="shared" si="0"/>
        <v>22</v>
      </c>
      <c r="E23" s="5">
        <f t="shared" si="1"/>
        <v>0.035426731078905</v>
      </c>
      <c r="F23" s="1" t="s">
        <v>493</v>
      </c>
      <c r="G23" s="22">
        <v>1433</v>
      </c>
      <c r="H23" s="23">
        <v>2579</v>
      </c>
      <c r="I23" s="24">
        <f t="shared" si="4"/>
        <v>1146</v>
      </c>
      <c r="J23" s="5">
        <f t="shared" si="5"/>
        <v>0.799720865317516</v>
      </c>
      <c r="K23" s="42" t="s">
        <v>469</v>
      </c>
      <c r="L23" s="43"/>
      <c r="M23" s="43">
        <v>137</v>
      </c>
      <c r="N23" s="43">
        <f t="shared" si="6"/>
        <v>137</v>
      </c>
      <c r="O23" s="5"/>
    </row>
    <row r="24" ht="18" customHeight="1" spans="1:15">
      <c r="A24" s="1" t="s">
        <v>494</v>
      </c>
      <c r="B24" s="4">
        <v>322</v>
      </c>
      <c r="C24" s="24">
        <v>40</v>
      </c>
      <c r="D24" s="24">
        <f t="shared" si="0"/>
        <v>-282</v>
      </c>
      <c r="E24" s="5">
        <f t="shared" si="1"/>
        <v>-0.875776397515528</v>
      </c>
      <c r="F24" s="1" t="s">
        <v>495</v>
      </c>
      <c r="G24" s="22">
        <v>940</v>
      </c>
      <c r="H24" s="23">
        <v>906</v>
      </c>
      <c r="I24" s="24">
        <f t="shared" si="4"/>
        <v>-34</v>
      </c>
      <c r="J24" s="5">
        <f t="shared" si="5"/>
        <v>-0.0361702127659574</v>
      </c>
      <c r="K24" s="42" t="s">
        <v>470</v>
      </c>
      <c r="L24" s="43">
        <v>681</v>
      </c>
      <c r="M24" s="43">
        <v>633</v>
      </c>
      <c r="N24" s="43">
        <f t="shared" si="6"/>
        <v>-48</v>
      </c>
      <c r="O24" s="5">
        <f t="shared" si="7"/>
        <v>-0.0704845814977974</v>
      </c>
    </row>
    <row r="25" ht="18" customHeight="1" spans="1:15">
      <c r="A25" s="25" t="s">
        <v>345</v>
      </c>
      <c r="B25" s="4">
        <v>47</v>
      </c>
      <c r="C25" s="24"/>
      <c r="D25" s="24">
        <f t="shared" si="0"/>
        <v>-47</v>
      </c>
      <c r="E25" s="5">
        <f t="shared" si="1"/>
        <v>-1</v>
      </c>
      <c r="F25" s="26" t="s">
        <v>78</v>
      </c>
      <c r="G25" s="27">
        <f>SUM(G26:G28)</f>
        <v>2114</v>
      </c>
      <c r="H25" s="27">
        <f>SUM(H26:H28)</f>
        <v>1150</v>
      </c>
      <c r="I25" s="17">
        <f t="shared" si="4"/>
        <v>-964</v>
      </c>
      <c r="J25" s="18">
        <f t="shared" si="5"/>
        <v>-0.45600756859035</v>
      </c>
      <c r="K25" s="42" t="s">
        <v>471</v>
      </c>
      <c r="L25" s="43">
        <v>35</v>
      </c>
      <c r="M25" s="43">
        <v>23</v>
      </c>
      <c r="N25" s="43">
        <f t="shared" si="6"/>
        <v>-12</v>
      </c>
      <c r="O25" s="5">
        <f t="shared" si="7"/>
        <v>-0.342857142857143</v>
      </c>
    </row>
    <row r="26" ht="18" customHeight="1" spans="1:15">
      <c r="A26" s="1" t="s">
        <v>77</v>
      </c>
      <c r="B26" s="24">
        <v>2188</v>
      </c>
      <c r="C26" s="24">
        <v>2669</v>
      </c>
      <c r="D26" s="24">
        <f t="shared" si="0"/>
        <v>481</v>
      </c>
      <c r="E26" s="5">
        <f t="shared" si="1"/>
        <v>0.219835466179159</v>
      </c>
      <c r="F26" s="1" t="s">
        <v>81</v>
      </c>
      <c r="G26" s="22">
        <v>417</v>
      </c>
      <c r="H26" s="23">
        <v>417</v>
      </c>
      <c r="I26" s="24">
        <f t="shared" si="4"/>
        <v>0</v>
      </c>
      <c r="J26" s="5">
        <f t="shared" si="5"/>
        <v>0</v>
      </c>
      <c r="K26" s="42" t="s">
        <v>472</v>
      </c>
      <c r="L26" s="43">
        <v>77</v>
      </c>
      <c r="M26" s="43">
        <v>90</v>
      </c>
      <c r="N26" s="43">
        <f t="shared" si="6"/>
        <v>13</v>
      </c>
      <c r="O26" s="5">
        <f t="shared" si="7"/>
        <v>0.168831168831169</v>
      </c>
    </row>
    <row r="27" ht="18" customHeight="1" spans="1:15">
      <c r="A27" s="1" t="s">
        <v>80</v>
      </c>
      <c r="B27" s="24">
        <v>1406</v>
      </c>
      <c r="C27" s="24">
        <v>1546</v>
      </c>
      <c r="D27" s="24">
        <f t="shared" si="0"/>
        <v>140</v>
      </c>
      <c r="E27" s="5">
        <f t="shared" si="1"/>
        <v>0.0995732574679943</v>
      </c>
      <c r="F27" s="1" t="s">
        <v>84</v>
      </c>
      <c r="G27" s="23">
        <v>1697</v>
      </c>
      <c r="H27" s="23">
        <v>733</v>
      </c>
      <c r="I27" s="24">
        <f t="shared" si="4"/>
        <v>-964</v>
      </c>
      <c r="J27" s="5">
        <f t="shared" si="5"/>
        <v>-0.568061284619917</v>
      </c>
      <c r="K27" s="42" t="s">
        <v>473</v>
      </c>
      <c r="L27" s="43"/>
      <c r="M27" s="43">
        <v>0</v>
      </c>
      <c r="N27" s="43">
        <f t="shared" si="6"/>
        <v>0</v>
      </c>
      <c r="O27" s="5"/>
    </row>
    <row r="28" ht="18" customHeight="1" spans="1:15">
      <c r="A28" s="1" t="s">
        <v>155</v>
      </c>
      <c r="B28" s="24">
        <v>3823</v>
      </c>
      <c r="C28" s="24">
        <v>5602</v>
      </c>
      <c r="D28" s="24">
        <f t="shared" si="0"/>
        <v>1779</v>
      </c>
      <c r="E28" s="5">
        <f t="shared" si="1"/>
        <v>0.46534135495684</v>
      </c>
      <c r="F28" s="1" t="s">
        <v>480</v>
      </c>
      <c r="H28" s="1"/>
      <c r="I28" s="24"/>
      <c r="J28" s="5"/>
      <c r="K28" s="42" t="s">
        <v>474</v>
      </c>
      <c r="L28" s="43">
        <v>17023</v>
      </c>
      <c r="M28" s="43">
        <v>9890</v>
      </c>
      <c r="N28" s="43">
        <f t="shared" si="6"/>
        <v>-7133</v>
      </c>
      <c r="O28" s="5">
        <f t="shared" si="7"/>
        <v>-0.419021324090936</v>
      </c>
    </row>
    <row r="29" ht="18" customHeight="1" spans="1:15">
      <c r="A29" s="1" t="s">
        <v>452</v>
      </c>
      <c r="B29" s="24">
        <f>51+9178</f>
        <v>9229</v>
      </c>
      <c r="C29" s="24">
        <f>19+9497</f>
        <v>9516</v>
      </c>
      <c r="D29" s="24">
        <f t="shared" si="0"/>
        <v>287</v>
      </c>
      <c r="E29" s="5">
        <f t="shared" si="1"/>
        <v>0.0310976270451837</v>
      </c>
      <c r="F29" s="21" t="s">
        <v>453</v>
      </c>
      <c r="G29" s="20">
        <v>10283</v>
      </c>
      <c r="H29" s="20">
        <v>9376</v>
      </c>
      <c r="I29" s="17">
        <f t="shared" si="4"/>
        <v>-907</v>
      </c>
      <c r="J29" s="18">
        <f t="shared" si="5"/>
        <v>-0.0882038315666634</v>
      </c>
      <c r="K29" s="42" t="s">
        <v>476</v>
      </c>
      <c r="L29" s="43">
        <v>249</v>
      </c>
      <c r="M29" s="43">
        <v>256</v>
      </c>
      <c r="N29" s="43">
        <f t="shared" si="6"/>
        <v>7</v>
      </c>
      <c r="O29" s="5">
        <f t="shared" si="7"/>
        <v>0.0281124497991968</v>
      </c>
    </row>
    <row r="30" ht="18" customHeight="1" spans="1:15">
      <c r="A30" s="28" t="s">
        <v>94</v>
      </c>
      <c r="B30" s="17">
        <f>SUM(B31:B36)</f>
        <v>37974</v>
      </c>
      <c r="C30" s="17">
        <f>SUM(C31:C36)</f>
        <v>45856</v>
      </c>
      <c r="D30" s="17">
        <f t="shared" si="0"/>
        <v>7882</v>
      </c>
      <c r="E30" s="18">
        <f t="shared" si="1"/>
        <v>0.207563069468584</v>
      </c>
      <c r="F30" s="1" t="s">
        <v>100</v>
      </c>
      <c r="G30" s="22">
        <v>10283</v>
      </c>
      <c r="H30" s="23">
        <v>9376</v>
      </c>
      <c r="I30" s="24">
        <f t="shared" si="4"/>
        <v>-907</v>
      </c>
      <c r="J30" s="5">
        <f t="shared" si="5"/>
        <v>-0.0882038315666634</v>
      </c>
      <c r="K30" s="42" t="s">
        <v>477</v>
      </c>
      <c r="L30" s="43"/>
      <c r="M30" s="43">
        <v>270</v>
      </c>
      <c r="N30" s="43">
        <f t="shared" si="6"/>
        <v>270</v>
      </c>
      <c r="O30" s="5"/>
    </row>
    <row r="31" ht="18" customHeight="1" spans="1:15">
      <c r="A31" s="29" t="s">
        <v>96</v>
      </c>
      <c r="B31" s="24">
        <f>1671+5247</f>
        <v>6918</v>
      </c>
      <c r="C31" s="24">
        <f>1671+5247+659</f>
        <v>7577</v>
      </c>
      <c r="D31" s="24">
        <f t="shared" si="0"/>
        <v>659</v>
      </c>
      <c r="E31" s="5">
        <f t="shared" si="1"/>
        <v>0.0952587453021104</v>
      </c>
      <c r="F31" s="21" t="s">
        <v>103</v>
      </c>
      <c r="G31" s="17">
        <f>SUM(G5,G25,G29)</f>
        <v>96891</v>
      </c>
      <c r="H31" s="17">
        <f>SUM(H5,H25,H29)</f>
        <v>113091</v>
      </c>
      <c r="I31" s="17">
        <f t="shared" si="4"/>
        <v>16200</v>
      </c>
      <c r="J31" s="18">
        <f t="shared" si="5"/>
        <v>0.167198191782518</v>
      </c>
      <c r="K31" s="42" t="s">
        <v>478</v>
      </c>
      <c r="L31" s="43"/>
      <c r="M31" s="43">
        <v>119</v>
      </c>
      <c r="N31" s="43">
        <f t="shared" si="6"/>
        <v>119</v>
      </c>
      <c r="O31" s="5"/>
    </row>
    <row r="32" ht="18" customHeight="1" spans="1:15">
      <c r="A32" s="29" t="s">
        <v>99</v>
      </c>
      <c r="B32" s="24">
        <f>16487+378</f>
        <v>16865</v>
      </c>
      <c r="C32" s="24">
        <v>13139</v>
      </c>
      <c r="D32" s="24">
        <f t="shared" si="0"/>
        <v>-3726</v>
      </c>
      <c r="E32" s="5">
        <f t="shared" si="1"/>
        <v>-0.220930922027868</v>
      </c>
      <c r="F32" s="21"/>
      <c r="G32" s="17"/>
      <c r="H32" s="17"/>
      <c r="I32" s="17"/>
      <c r="J32" s="18"/>
      <c r="K32" s="42" t="s">
        <v>479</v>
      </c>
      <c r="L32" s="43">
        <v>1278</v>
      </c>
      <c r="M32" s="43">
        <v>391</v>
      </c>
      <c r="N32" s="43">
        <f t="shared" si="6"/>
        <v>-887</v>
      </c>
      <c r="O32" s="5">
        <f t="shared" si="7"/>
        <v>-0.694053208137715</v>
      </c>
    </row>
    <row r="33" ht="18" customHeight="1" spans="1:15">
      <c r="A33" s="29" t="s">
        <v>102</v>
      </c>
      <c r="B33" s="24">
        <v>14191</v>
      </c>
      <c r="C33" s="24">
        <v>25140</v>
      </c>
      <c r="D33" s="24">
        <f t="shared" si="0"/>
        <v>10949</v>
      </c>
      <c r="E33" s="5">
        <f t="shared" si="1"/>
        <v>0.771545345641604</v>
      </c>
      <c r="F33" s="21"/>
      <c r="G33" s="17"/>
      <c r="H33" s="17"/>
      <c r="I33" s="17"/>
      <c r="J33" s="18"/>
      <c r="K33" s="42" t="s">
        <v>403</v>
      </c>
      <c r="L33" s="43">
        <v>10</v>
      </c>
      <c r="M33" s="43">
        <v>70</v>
      </c>
      <c r="N33" s="43">
        <f t="shared" si="6"/>
        <v>60</v>
      </c>
      <c r="O33" s="5">
        <f t="shared" si="7"/>
        <v>6</v>
      </c>
    </row>
    <row r="34" ht="18" customHeight="1" spans="1:15">
      <c r="A34" s="1"/>
      <c r="B34" s="24"/>
      <c r="C34" s="24"/>
      <c r="D34" s="24"/>
      <c r="E34" s="18"/>
      <c r="F34" s="30" t="s">
        <v>355</v>
      </c>
      <c r="G34" s="31"/>
      <c r="H34" s="31"/>
      <c r="I34" s="31"/>
      <c r="J34" s="48"/>
      <c r="K34" s="42" t="s">
        <v>481</v>
      </c>
      <c r="L34" s="43">
        <v>272</v>
      </c>
      <c r="M34" s="43">
        <v>257</v>
      </c>
      <c r="N34" s="43">
        <f t="shared" si="6"/>
        <v>-15</v>
      </c>
      <c r="O34" s="5">
        <f t="shared" si="7"/>
        <v>-0.0551470588235294</v>
      </c>
    </row>
    <row r="35" ht="18" customHeight="1" spans="1:15">
      <c r="A35" s="1"/>
      <c r="B35" s="24"/>
      <c r="C35" s="24"/>
      <c r="D35" s="24"/>
      <c r="E35" s="18"/>
      <c r="F35" s="15" t="s">
        <v>6</v>
      </c>
      <c r="G35" s="15" t="s">
        <v>499</v>
      </c>
      <c r="H35" s="15" t="s">
        <v>459</v>
      </c>
      <c r="I35" s="15" t="s">
        <v>9</v>
      </c>
      <c r="J35" s="15" t="s">
        <v>10</v>
      </c>
      <c r="K35" s="42" t="s">
        <v>405</v>
      </c>
      <c r="L35" s="43"/>
      <c r="M35" s="43">
        <v>40</v>
      </c>
      <c r="N35" s="43">
        <f t="shared" si="6"/>
        <v>40</v>
      </c>
      <c r="O35" s="5"/>
    </row>
    <row r="36" ht="18" customHeight="1" spans="1:15">
      <c r="A36" s="29"/>
      <c r="B36" s="4"/>
      <c r="C36" s="24"/>
      <c r="D36" s="24"/>
      <c r="E36" s="18"/>
      <c r="F36" s="21" t="s">
        <v>383</v>
      </c>
      <c r="G36" s="32">
        <f>B5</f>
        <v>50246</v>
      </c>
      <c r="H36" s="32">
        <f>C5</f>
        <v>53502</v>
      </c>
      <c r="I36" s="17">
        <f>H36-G36</f>
        <v>3256</v>
      </c>
      <c r="J36" s="18">
        <f>I36/G36</f>
        <v>0.0648011782032401</v>
      </c>
      <c r="K36" s="42" t="s">
        <v>406</v>
      </c>
      <c r="L36" s="43">
        <v>298</v>
      </c>
      <c r="M36" s="43">
        <v>99</v>
      </c>
      <c r="N36" s="43">
        <f t="shared" si="6"/>
        <v>-199</v>
      </c>
      <c r="O36" s="5">
        <f t="shared" si="7"/>
        <v>-0.667785234899329</v>
      </c>
    </row>
    <row r="37" ht="18" customHeight="1" spans="1:15">
      <c r="A37" s="33" t="s">
        <v>105</v>
      </c>
      <c r="B37" s="17">
        <v>8671</v>
      </c>
      <c r="C37" s="17">
        <v>10283</v>
      </c>
      <c r="D37" s="17">
        <f t="shared" si="0"/>
        <v>1612</v>
      </c>
      <c r="E37" s="18">
        <f t="shared" si="1"/>
        <v>0.185907046476762</v>
      </c>
      <c r="F37" s="34" t="s">
        <v>359</v>
      </c>
      <c r="G37" s="32">
        <f>SUM(G38:G41)</f>
        <v>26354</v>
      </c>
      <c r="H37" s="32">
        <f>SUM(H38:H41)</f>
        <v>27863.5</v>
      </c>
      <c r="I37" s="17">
        <f t="shared" ref="I37:I42" si="8">H37-G37</f>
        <v>1509.5</v>
      </c>
      <c r="J37" s="18">
        <f t="shared" ref="J37:J42" si="9">I37/G37</f>
        <v>0.0572778325870836</v>
      </c>
      <c r="K37" s="42" t="s">
        <v>482</v>
      </c>
      <c r="L37" s="43">
        <v>300</v>
      </c>
      <c r="M37" s="43">
        <v>332</v>
      </c>
      <c r="N37" s="43">
        <f t="shared" si="6"/>
        <v>32</v>
      </c>
      <c r="O37" s="5">
        <f t="shared" si="7"/>
        <v>0.106666666666667</v>
      </c>
    </row>
    <row r="38" ht="18" customHeight="1" spans="1:15">
      <c r="A38" s="33" t="s">
        <v>407</v>
      </c>
      <c r="B38" s="17"/>
      <c r="C38" s="17">
        <v>3450</v>
      </c>
      <c r="D38" s="17">
        <f t="shared" si="0"/>
        <v>3450</v>
      </c>
      <c r="E38" s="18"/>
      <c r="F38" s="35" t="s">
        <v>361</v>
      </c>
      <c r="G38" s="24">
        <v>18228</v>
      </c>
      <c r="H38" s="24">
        <f>C7*3</f>
        <v>18348</v>
      </c>
      <c r="I38" s="24">
        <f t="shared" si="8"/>
        <v>120</v>
      </c>
      <c r="J38" s="5">
        <f t="shared" si="9"/>
        <v>0.00658327847267939</v>
      </c>
      <c r="K38" s="42" t="s">
        <v>496</v>
      </c>
      <c r="L38" s="43"/>
      <c r="M38" s="43">
        <v>3</v>
      </c>
      <c r="N38" s="43">
        <f t="shared" si="6"/>
        <v>3</v>
      </c>
      <c r="O38" s="5"/>
    </row>
    <row r="39" ht="18" customHeight="1" spans="1:15">
      <c r="A39" s="33"/>
      <c r="B39" s="17"/>
      <c r="C39" s="17"/>
      <c r="D39" s="17"/>
      <c r="E39" s="18"/>
      <c r="F39" s="35" t="s">
        <v>117</v>
      </c>
      <c r="G39" s="24">
        <v>4405</v>
      </c>
      <c r="H39" s="24">
        <f>C9*1.5</f>
        <v>4984.5</v>
      </c>
      <c r="I39" s="24">
        <f t="shared" si="8"/>
        <v>579.5</v>
      </c>
      <c r="J39" s="5">
        <f t="shared" si="9"/>
        <v>0.13155505107832</v>
      </c>
      <c r="K39" s="42" t="s">
        <v>362</v>
      </c>
      <c r="L39" s="43">
        <f>191+202+447+33</f>
        <v>873</v>
      </c>
      <c r="M39" s="43"/>
      <c r="N39" s="43">
        <f t="shared" si="6"/>
        <v>-873</v>
      </c>
      <c r="O39" s="5">
        <f t="shared" si="7"/>
        <v>-1</v>
      </c>
    </row>
    <row r="40" ht="18" customHeight="1" spans="1:15">
      <c r="A40" s="33"/>
      <c r="B40" s="17"/>
      <c r="C40" s="17"/>
      <c r="D40" s="17"/>
      <c r="E40" s="18"/>
      <c r="F40" s="35" t="s">
        <v>118</v>
      </c>
      <c r="G40" s="24">
        <v>3703</v>
      </c>
      <c r="H40" s="24">
        <f>C10*1.5</f>
        <v>4407</v>
      </c>
      <c r="I40" s="24">
        <f t="shared" si="8"/>
        <v>704</v>
      </c>
      <c r="J40" s="5">
        <f t="shared" si="9"/>
        <v>0.190116122063192</v>
      </c>
      <c r="K40" s="16" t="s">
        <v>486</v>
      </c>
      <c r="L40" s="43">
        <v>1171</v>
      </c>
      <c r="M40" s="43">
        <v>1436</v>
      </c>
      <c r="N40" s="41">
        <f t="shared" si="6"/>
        <v>265</v>
      </c>
      <c r="O40" s="18">
        <f t="shared" si="7"/>
        <v>0.226302305721605</v>
      </c>
    </row>
    <row r="41" ht="18" customHeight="1" spans="1:15">
      <c r="A41" s="1"/>
      <c r="B41" s="4"/>
      <c r="C41" s="4"/>
      <c r="D41" s="4"/>
      <c r="E41" s="18"/>
      <c r="F41" s="35" t="s">
        <v>314</v>
      </c>
      <c r="G41" s="24">
        <v>18</v>
      </c>
      <c r="H41" s="24">
        <v>124</v>
      </c>
      <c r="I41" s="24">
        <f t="shared" si="8"/>
        <v>106</v>
      </c>
      <c r="J41" s="5">
        <f t="shared" si="9"/>
        <v>5.88888888888889</v>
      </c>
      <c r="K41" s="21" t="s">
        <v>268</v>
      </c>
      <c r="L41" s="45">
        <v>2181</v>
      </c>
      <c r="M41" s="45">
        <f>2027+119</f>
        <v>2146</v>
      </c>
      <c r="N41" s="41">
        <f t="shared" si="6"/>
        <v>-35</v>
      </c>
      <c r="O41" s="18">
        <f t="shared" si="7"/>
        <v>-0.0160476845483723</v>
      </c>
    </row>
    <row r="42" ht="18" customHeight="1" spans="1:15">
      <c r="A42" s="28" t="s">
        <v>124</v>
      </c>
      <c r="B42" s="17">
        <f>SUM(B5,B30,B37:B38)</f>
        <v>96891</v>
      </c>
      <c r="C42" s="17">
        <f>SUM(C5,C30,C37:C38)</f>
        <v>113091</v>
      </c>
      <c r="D42" s="17">
        <f t="shared" si="0"/>
        <v>16200</v>
      </c>
      <c r="E42" s="18">
        <f t="shared" si="1"/>
        <v>0.167198191782518</v>
      </c>
      <c r="F42" s="36" t="s">
        <v>363</v>
      </c>
      <c r="G42" s="32">
        <f>SUM(G36:G37)</f>
        <v>76600</v>
      </c>
      <c r="H42" s="32">
        <f>SUM(H36:H37)</f>
        <v>81365.5</v>
      </c>
      <c r="I42" s="17">
        <f t="shared" si="8"/>
        <v>4765.5</v>
      </c>
      <c r="J42" s="18">
        <f t="shared" si="9"/>
        <v>0.0622127937336815</v>
      </c>
      <c r="K42" s="21" t="s">
        <v>91</v>
      </c>
      <c r="L42" s="17">
        <f>SUM(L20,L41:L41)</f>
        <v>24694</v>
      </c>
      <c r="M42" s="17">
        <f>SUM(M20,M41:M41)</f>
        <v>16639</v>
      </c>
      <c r="N42" s="41">
        <f t="shared" si="6"/>
        <v>-8055</v>
      </c>
      <c r="O42" s="18">
        <f t="shared" si="7"/>
        <v>-0.326192597392079</v>
      </c>
    </row>
    <row r="43" ht="21" customHeight="1" spans="1:1">
      <c r="A43" t="s">
        <v>497</v>
      </c>
    </row>
    <row r="44" ht="15.95" customHeight="1" spans="1:7">
      <c r="A44" s="37"/>
      <c r="G44" s="38"/>
    </row>
    <row r="45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393055555555556" right="0" top="0.590277777777778" bottom="0.590277777777778" header="0.511805555555556" footer="0.511805555555556"/>
  <pageSetup paperSize="9" scale="62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1"/>
  <sheetViews>
    <sheetView workbookViewId="0">
      <selection activeCell="B6" sqref="B6"/>
    </sheetView>
  </sheetViews>
  <sheetFormatPr defaultColWidth="9" defaultRowHeight="14.25" outlineLevelCol="3"/>
  <cols>
    <col min="1" max="1" width="25.5" customWidth="1"/>
    <col min="2" max="2" width="11.25" customWidth="1"/>
    <col min="3" max="3" width="10.5" customWidth="1"/>
  </cols>
  <sheetData>
    <row r="3" spans="1:4">
      <c r="A3" s="1" t="s">
        <v>503</v>
      </c>
      <c r="B3" s="1" t="s">
        <v>504</v>
      </c>
      <c r="C3" s="1" t="s">
        <v>505</v>
      </c>
      <c r="D3" s="2" t="s">
        <v>10</v>
      </c>
    </row>
    <row r="4" spans="1:4">
      <c r="A4" s="1" t="s">
        <v>506</v>
      </c>
      <c r="B4" s="3">
        <v>9496</v>
      </c>
      <c r="C4" s="4">
        <v>12695</v>
      </c>
      <c r="D4" s="5">
        <f>C4/B4-1</f>
        <v>0.336878685762426</v>
      </c>
    </row>
    <row r="5" spans="1:4">
      <c r="A5" s="1" t="s">
        <v>507</v>
      </c>
      <c r="B5" s="4"/>
      <c r="C5" s="4"/>
      <c r="D5" s="5"/>
    </row>
    <row r="6" spans="1:4">
      <c r="A6" s="1" t="s">
        <v>508</v>
      </c>
      <c r="B6" s="4">
        <v>261</v>
      </c>
      <c r="C6" s="4">
        <v>180</v>
      </c>
      <c r="D6" s="5">
        <f t="shared" ref="D6:D21" si="0">C6/B6-1</f>
        <v>-0.310344827586207</v>
      </c>
    </row>
    <row r="7" spans="1:4">
      <c r="A7" s="1" t="s">
        <v>509</v>
      </c>
      <c r="B7" s="3">
        <v>3385</v>
      </c>
      <c r="C7" s="4">
        <v>4231</v>
      </c>
      <c r="D7" s="5">
        <f t="shared" si="0"/>
        <v>0.249926144756278</v>
      </c>
    </row>
    <row r="8" spans="1:4">
      <c r="A8" s="1" t="s">
        <v>510</v>
      </c>
      <c r="B8" s="3">
        <v>23004</v>
      </c>
      <c r="C8" s="4">
        <v>26467</v>
      </c>
      <c r="D8" s="5">
        <f t="shared" si="0"/>
        <v>0.150539036689271</v>
      </c>
    </row>
    <row r="9" spans="1:4">
      <c r="A9" s="1" t="s">
        <v>511</v>
      </c>
      <c r="B9" s="4">
        <v>696</v>
      </c>
      <c r="C9" s="4">
        <v>820</v>
      </c>
      <c r="D9" s="5">
        <f t="shared" si="0"/>
        <v>0.17816091954023</v>
      </c>
    </row>
    <row r="10" spans="1:4">
      <c r="A10" s="1" t="s">
        <v>512</v>
      </c>
      <c r="B10" s="4">
        <v>557</v>
      </c>
      <c r="C10" s="4">
        <v>826</v>
      </c>
      <c r="D10" s="5">
        <f t="shared" si="0"/>
        <v>0.48294434470377</v>
      </c>
    </row>
    <row r="11" spans="1:4">
      <c r="A11" s="1" t="s">
        <v>513</v>
      </c>
      <c r="B11" s="3">
        <v>2618</v>
      </c>
      <c r="C11" s="4">
        <v>3107</v>
      </c>
      <c r="D11" s="5">
        <f t="shared" si="0"/>
        <v>0.186783804430863</v>
      </c>
    </row>
    <row r="12" spans="1:4">
      <c r="A12" s="1" t="s">
        <v>514</v>
      </c>
      <c r="B12" s="3">
        <v>2135</v>
      </c>
      <c r="C12" s="4">
        <v>4183</v>
      </c>
      <c r="D12" s="5">
        <f t="shared" si="0"/>
        <v>0.959250585480094</v>
      </c>
    </row>
    <row r="13" spans="1:4">
      <c r="A13" s="1" t="s">
        <v>515</v>
      </c>
      <c r="B13" s="4">
        <v>206</v>
      </c>
      <c r="C13" s="4">
        <v>286</v>
      </c>
      <c r="D13" s="5">
        <f t="shared" si="0"/>
        <v>0.388349514563107</v>
      </c>
    </row>
    <row r="14" spans="1:4">
      <c r="A14" s="1" t="s">
        <v>516</v>
      </c>
      <c r="B14" s="3">
        <v>1189</v>
      </c>
      <c r="C14" s="4">
        <v>1078</v>
      </c>
      <c r="D14" s="5">
        <f t="shared" si="0"/>
        <v>-0.0933557611438184</v>
      </c>
    </row>
    <row r="15" spans="1:4">
      <c r="A15" s="1" t="s">
        <v>517</v>
      </c>
      <c r="B15" s="3">
        <v>6400</v>
      </c>
      <c r="C15" s="4">
        <v>7928</v>
      </c>
      <c r="D15" s="5">
        <f t="shared" si="0"/>
        <v>0.23875</v>
      </c>
    </row>
    <row r="16" spans="1:4">
      <c r="A16" s="1" t="s">
        <v>518</v>
      </c>
      <c r="B16" s="4">
        <v>877</v>
      </c>
      <c r="C16" s="4">
        <v>950</v>
      </c>
      <c r="D16" s="5">
        <f t="shared" si="0"/>
        <v>0.0832383124287344</v>
      </c>
    </row>
    <row r="17" spans="1:4">
      <c r="A17" s="1" t="s">
        <v>519</v>
      </c>
      <c r="B17" s="3">
        <v>3085</v>
      </c>
      <c r="C17" s="4">
        <v>2764</v>
      </c>
      <c r="D17" s="5">
        <f t="shared" si="0"/>
        <v>-0.104051863857374</v>
      </c>
    </row>
    <row r="18" spans="1:4">
      <c r="A18" s="1" t="s">
        <v>520</v>
      </c>
      <c r="B18" s="4">
        <v>474</v>
      </c>
      <c r="C18" s="4">
        <v>1815</v>
      </c>
      <c r="D18" s="5">
        <f t="shared" si="0"/>
        <v>2.82911392405063</v>
      </c>
    </row>
    <row r="19" spans="1:4">
      <c r="A19" s="1"/>
      <c r="B19" s="4"/>
      <c r="C19" s="4"/>
      <c r="D19" s="5"/>
    </row>
    <row r="20" spans="1:4">
      <c r="A20" s="1"/>
      <c r="B20" s="4"/>
      <c r="C20" s="4"/>
      <c r="D20" s="5"/>
    </row>
    <row r="21" spans="1:4">
      <c r="A21" s="1" t="s">
        <v>521</v>
      </c>
      <c r="B21" s="3">
        <f>SUM(B4:B18)</f>
        <v>54383</v>
      </c>
      <c r="C21" s="3">
        <f>SUM(C4:C18)</f>
        <v>67330</v>
      </c>
      <c r="D21" s="5">
        <f t="shared" si="0"/>
        <v>0.238070720629608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B10" workbookViewId="0">
      <selection activeCell="M37" sqref="M37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169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12</v>
      </c>
      <c r="B5" s="52">
        <f>SUM(B6,B24)</f>
        <v>118200</v>
      </c>
      <c r="C5" s="52">
        <f>SUM(C6,C24)</f>
        <v>130100</v>
      </c>
      <c r="D5" s="52">
        <f>SUM(D6,D24)</f>
        <v>131944</v>
      </c>
      <c r="E5" s="18">
        <f t="shared" ref="E5:E8" si="0">D5/C5</f>
        <v>1.01417371252882</v>
      </c>
      <c r="F5" s="21" t="s">
        <v>13</v>
      </c>
      <c r="G5" s="19">
        <f>SUM(G6:G26)</f>
        <v>294248</v>
      </c>
      <c r="H5" s="19">
        <f>SUM(H6:H26)</f>
        <v>436988</v>
      </c>
      <c r="I5" s="19">
        <f>SUM(I6:I26)</f>
        <v>379528</v>
      </c>
      <c r="J5" s="18">
        <f t="shared" ref="J5:J20" si="1">I5/H5</f>
        <v>0.86850897507483</v>
      </c>
      <c r="K5" s="16" t="s">
        <v>133</v>
      </c>
      <c r="L5" s="19">
        <f t="shared" ref="L5" si="2">SUM(L6:L10)</f>
        <v>162300</v>
      </c>
      <c r="M5" s="19">
        <f>SUM(M6:M11)</f>
        <v>206600</v>
      </c>
      <c r="N5" s="19">
        <f>SUM(N6:N11)</f>
        <v>206721</v>
      </c>
      <c r="O5" s="18">
        <f t="shared" ref="O5:O10" si="3">N5/M5</f>
        <v>1.00058567279768</v>
      </c>
    </row>
    <row r="6" ht="16.5" customHeight="1" spans="1:15">
      <c r="A6" s="21" t="s">
        <v>15</v>
      </c>
      <c r="B6" s="52">
        <f>SUM(B7,B10:B22)</f>
        <v>81200</v>
      </c>
      <c r="C6" s="52">
        <f>SUM(C7,C10:C22)</f>
        <v>88800</v>
      </c>
      <c r="D6" s="52">
        <f>SUM(D7,D10:D23)</f>
        <v>91770</v>
      </c>
      <c r="E6" s="18">
        <f t="shared" si="0"/>
        <v>1.03344594594595</v>
      </c>
      <c r="F6" s="1" t="s">
        <v>16</v>
      </c>
      <c r="G6" s="51">
        <v>33781</v>
      </c>
      <c r="H6" s="22">
        <v>34637</v>
      </c>
      <c r="I6" s="22">
        <v>32930</v>
      </c>
      <c r="J6" s="60">
        <f t="shared" si="1"/>
        <v>0.950717440886913</v>
      </c>
      <c r="K6" s="42" t="s">
        <v>134</v>
      </c>
      <c r="L6" s="22">
        <v>158850</v>
      </c>
      <c r="M6" s="22">
        <v>200515</v>
      </c>
      <c r="N6" s="51">
        <v>200183</v>
      </c>
      <c r="O6" s="5">
        <f t="shared" si="3"/>
        <v>0.998344263521432</v>
      </c>
    </row>
    <row r="7" ht="16.5" customHeight="1" spans="1:15">
      <c r="A7" s="1" t="s">
        <v>18</v>
      </c>
      <c r="B7" s="51">
        <v>34380</v>
      </c>
      <c r="C7" s="51">
        <v>32100</v>
      </c>
      <c r="D7" s="51">
        <v>32010</v>
      </c>
      <c r="E7" s="5">
        <f t="shared" si="0"/>
        <v>0.997196261682243</v>
      </c>
      <c r="F7" s="1" t="s">
        <v>19</v>
      </c>
      <c r="G7" s="51">
        <v>302</v>
      </c>
      <c r="H7" s="22">
        <v>366</v>
      </c>
      <c r="I7" s="22">
        <v>366</v>
      </c>
      <c r="J7" s="60">
        <f t="shared" si="1"/>
        <v>1</v>
      </c>
      <c r="K7" s="42" t="s">
        <v>135</v>
      </c>
      <c r="L7" s="22">
        <v>2200</v>
      </c>
      <c r="M7" s="22">
        <v>2400</v>
      </c>
      <c r="N7" s="51">
        <v>2797</v>
      </c>
      <c r="O7" s="5">
        <f t="shared" si="3"/>
        <v>1.16541666666667</v>
      </c>
    </row>
    <row r="8" ht="16.5" customHeight="1" spans="1:15">
      <c r="A8" s="1" t="s">
        <v>136</v>
      </c>
      <c r="B8" s="51">
        <v>34380</v>
      </c>
      <c r="C8" s="51">
        <v>32100</v>
      </c>
      <c r="D8" s="51">
        <v>32010</v>
      </c>
      <c r="E8" s="5">
        <f t="shared" si="0"/>
        <v>0.997196261682243</v>
      </c>
      <c r="F8" s="1" t="s">
        <v>22</v>
      </c>
      <c r="G8" s="51">
        <v>12715</v>
      </c>
      <c r="H8" s="22">
        <v>15224</v>
      </c>
      <c r="I8" s="22">
        <v>14380</v>
      </c>
      <c r="J8" s="60">
        <f t="shared" si="1"/>
        <v>0.944561219127693</v>
      </c>
      <c r="K8" s="42" t="s">
        <v>137</v>
      </c>
      <c r="L8" s="22">
        <v>820</v>
      </c>
      <c r="M8" s="22">
        <v>895</v>
      </c>
      <c r="N8" s="51">
        <v>895</v>
      </c>
      <c r="O8" s="5">
        <f t="shared" si="3"/>
        <v>1</v>
      </c>
    </row>
    <row r="9" ht="16.5" customHeight="1" spans="1:15">
      <c r="A9" s="1" t="s">
        <v>138</v>
      </c>
      <c r="B9" s="51"/>
      <c r="C9" s="51"/>
      <c r="D9" s="51"/>
      <c r="E9" s="5"/>
      <c r="F9" s="1" t="s">
        <v>25</v>
      </c>
      <c r="G9" s="51">
        <v>90483</v>
      </c>
      <c r="H9" s="22">
        <v>109219</v>
      </c>
      <c r="I9" s="22">
        <v>99154</v>
      </c>
      <c r="J9" s="60">
        <f t="shared" si="1"/>
        <v>0.907845704501964</v>
      </c>
      <c r="K9" s="42" t="s">
        <v>139</v>
      </c>
      <c r="L9" s="22">
        <v>130</v>
      </c>
      <c r="M9" s="22">
        <v>115</v>
      </c>
      <c r="N9" s="51">
        <v>135</v>
      </c>
      <c r="O9" s="5">
        <f t="shared" si="3"/>
        <v>1.17391304347826</v>
      </c>
    </row>
    <row r="10" ht="16.5" customHeight="1" spans="1:15">
      <c r="A10" s="1" t="s">
        <v>27</v>
      </c>
      <c r="B10" s="99"/>
      <c r="C10" s="51"/>
      <c r="D10" s="51"/>
      <c r="E10" s="5"/>
      <c r="F10" s="1" t="s">
        <v>28</v>
      </c>
      <c r="G10" s="51">
        <v>2764</v>
      </c>
      <c r="H10" s="51">
        <v>3782</v>
      </c>
      <c r="I10" s="22">
        <v>3664</v>
      </c>
      <c r="J10" s="60">
        <f t="shared" si="1"/>
        <v>0.968799576943416</v>
      </c>
      <c r="K10" s="42" t="s">
        <v>140</v>
      </c>
      <c r="L10" s="22">
        <v>300</v>
      </c>
      <c r="M10" s="22">
        <v>325</v>
      </c>
      <c r="N10" s="51">
        <v>361</v>
      </c>
      <c r="O10" s="5">
        <f t="shared" si="3"/>
        <v>1.11076923076923</v>
      </c>
    </row>
    <row r="11" ht="16.5" customHeight="1" spans="1:15">
      <c r="A11" s="1" t="s">
        <v>30</v>
      </c>
      <c r="B11" s="99">
        <v>9400</v>
      </c>
      <c r="C11" s="51">
        <v>13850</v>
      </c>
      <c r="D11" s="51">
        <v>13925</v>
      </c>
      <c r="E11" s="5">
        <f t="shared" ref="E11:E22" si="4">D11/C11</f>
        <v>1.00541516245487</v>
      </c>
      <c r="F11" s="1" t="s">
        <v>31</v>
      </c>
      <c r="G11" s="51">
        <v>3466</v>
      </c>
      <c r="H11" s="51">
        <v>6579</v>
      </c>
      <c r="I11" s="22">
        <v>6111</v>
      </c>
      <c r="J11" s="60">
        <f t="shared" si="1"/>
        <v>0.928864569083447</v>
      </c>
      <c r="K11" s="42" t="s">
        <v>170</v>
      </c>
      <c r="L11" s="22"/>
      <c r="M11" s="22">
        <v>2350</v>
      </c>
      <c r="N11" s="51">
        <v>2350</v>
      </c>
      <c r="O11" s="5"/>
    </row>
    <row r="12" ht="16.5" customHeight="1" spans="1:15">
      <c r="A12" s="1" t="s">
        <v>33</v>
      </c>
      <c r="B12" s="99">
        <v>7600</v>
      </c>
      <c r="C12" s="51">
        <v>8050</v>
      </c>
      <c r="D12" s="51">
        <v>8356</v>
      </c>
      <c r="E12" s="5">
        <f t="shared" si="4"/>
        <v>1.03801242236025</v>
      </c>
      <c r="F12" s="1" t="s">
        <v>34</v>
      </c>
      <c r="G12" s="51">
        <v>49844</v>
      </c>
      <c r="H12" s="51">
        <v>55246</v>
      </c>
      <c r="I12" s="22">
        <v>52105</v>
      </c>
      <c r="J12" s="60">
        <f t="shared" si="1"/>
        <v>0.943145205082721</v>
      </c>
      <c r="K12" s="21" t="s">
        <v>32</v>
      </c>
      <c r="L12" s="19">
        <v>41</v>
      </c>
      <c r="M12" s="19">
        <v>41</v>
      </c>
      <c r="N12" s="19">
        <v>3254</v>
      </c>
      <c r="O12" s="5"/>
    </row>
    <row r="13" ht="16.5" customHeight="1" spans="1:15">
      <c r="A13" s="1" t="s">
        <v>36</v>
      </c>
      <c r="B13" s="68">
        <v>1600</v>
      </c>
      <c r="C13" s="68">
        <v>1299</v>
      </c>
      <c r="D13" s="51">
        <v>1299</v>
      </c>
      <c r="E13" s="5">
        <f t="shared" si="4"/>
        <v>1</v>
      </c>
      <c r="F13" s="1" t="s">
        <v>37</v>
      </c>
      <c r="G13" s="51">
        <v>24974</v>
      </c>
      <c r="H13" s="51">
        <v>36065</v>
      </c>
      <c r="I13" s="22">
        <v>31116</v>
      </c>
      <c r="J13" s="61">
        <f t="shared" si="1"/>
        <v>0.862775544156384</v>
      </c>
      <c r="K13" s="21" t="s">
        <v>143</v>
      </c>
      <c r="L13" s="19"/>
      <c r="M13" s="19">
        <v>6431</v>
      </c>
      <c r="N13" s="19">
        <v>6435</v>
      </c>
      <c r="O13" s="45"/>
    </row>
    <row r="14" ht="16.5" customHeight="1" spans="1:15">
      <c r="A14" s="1" t="s">
        <v>39</v>
      </c>
      <c r="B14" s="68">
        <v>3500</v>
      </c>
      <c r="C14" s="68">
        <v>3385</v>
      </c>
      <c r="D14" s="51">
        <v>3385</v>
      </c>
      <c r="E14" s="5">
        <f t="shared" si="4"/>
        <v>1</v>
      </c>
      <c r="F14" s="1" t="s">
        <v>40</v>
      </c>
      <c r="G14" s="51">
        <v>3442</v>
      </c>
      <c r="H14" s="51">
        <v>8748</v>
      </c>
      <c r="I14" s="22">
        <v>6769</v>
      </c>
      <c r="J14" s="60">
        <f t="shared" si="1"/>
        <v>0.773776863283036</v>
      </c>
      <c r="K14" s="21" t="s">
        <v>38</v>
      </c>
      <c r="L14" s="19"/>
      <c r="M14" s="19">
        <v>18494</v>
      </c>
      <c r="N14" s="19">
        <v>18494</v>
      </c>
      <c r="O14" s="45"/>
    </row>
    <row r="15" ht="16.5" customHeight="1" spans="1:15">
      <c r="A15" s="1" t="s">
        <v>42</v>
      </c>
      <c r="B15" s="68">
        <v>2700</v>
      </c>
      <c r="C15" s="68">
        <v>2334</v>
      </c>
      <c r="D15" s="51">
        <v>2334</v>
      </c>
      <c r="E15" s="5">
        <f t="shared" si="4"/>
        <v>1</v>
      </c>
      <c r="F15" s="1" t="s">
        <v>43</v>
      </c>
      <c r="G15" s="51">
        <v>6787</v>
      </c>
      <c r="H15" s="51">
        <v>17051</v>
      </c>
      <c r="I15" s="22">
        <v>11189</v>
      </c>
      <c r="J15" s="60">
        <f t="shared" si="1"/>
        <v>0.656207847047094</v>
      </c>
      <c r="K15" s="46" t="s">
        <v>41</v>
      </c>
      <c r="L15" s="19">
        <f>SUM(L13,L12,L5,L14)</f>
        <v>162341</v>
      </c>
      <c r="M15" s="19">
        <f>SUM(M13,M12,M5,M14)</f>
        <v>231566</v>
      </c>
      <c r="N15" s="19">
        <f>SUM(N13,N12,N5,N14)</f>
        <v>234904</v>
      </c>
      <c r="O15" s="4"/>
    </row>
    <row r="16" ht="16.5" customHeight="1" spans="1:15">
      <c r="A16" s="1" t="s">
        <v>45</v>
      </c>
      <c r="B16" s="68">
        <v>1350</v>
      </c>
      <c r="C16" s="68">
        <v>1510</v>
      </c>
      <c r="D16" s="51">
        <v>1510</v>
      </c>
      <c r="E16" s="5">
        <f t="shared" si="4"/>
        <v>1</v>
      </c>
      <c r="F16" s="1" t="s">
        <v>46</v>
      </c>
      <c r="G16" s="51">
        <v>18160</v>
      </c>
      <c r="H16" s="51">
        <v>58394</v>
      </c>
      <c r="I16" s="22">
        <v>45546</v>
      </c>
      <c r="J16" s="60">
        <f t="shared" si="1"/>
        <v>0.779977394937836</v>
      </c>
      <c r="K16" s="90" t="s">
        <v>44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3750</v>
      </c>
      <c r="C17" s="68">
        <v>3088</v>
      </c>
      <c r="D17" s="51">
        <v>3088</v>
      </c>
      <c r="E17" s="5">
        <f t="shared" si="4"/>
        <v>1</v>
      </c>
      <c r="F17" s="1" t="s">
        <v>48</v>
      </c>
      <c r="G17" s="51">
        <v>3243</v>
      </c>
      <c r="H17" s="22">
        <v>31545</v>
      </c>
      <c r="I17" s="22">
        <v>29485</v>
      </c>
      <c r="J17" s="60">
        <f t="shared" si="1"/>
        <v>0.934696465366936</v>
      </c>
      <c r="K17" s="15" t="s">
        <v>6</v>
      </c>
      <c r="L17" s="15" t="s">
        <v>129</v>
      </c>
      <c r="M17" s="15" t="s">
        <v>130</v>
      </c>
      <c r="N17" s="15" t="s">
        <v>131</v>
      </c>
      <c r="O17" s="15" t="s">
        <v>132</v>
      </c>
    </row>
    <row r="18" ht="16.5" customHeight="1" spans="1:15">
      <c r="A18" s="1" t="s">
        <v>50</v>
      </c>
      <c r="B18" s="68">
        <v>8020</v>
      </c>
      <c r="C18" s="68">
        <v>11002</v>
      </c>
      <c r="D18" s="51">
        <v>13236</v>
      </c>
      <c r="E18" s="5">
        <f t="shared" si="4"/>
        <v>1.2030539901836</v>
      </c>
      <c r="F18" s="1" t="s">
        <v>51</v>
      </c>
      <c r="G18" s="51">
        <v>18993</v>
      </c>
      <c r="H18" s="22">
        <v>2222</v>
      </c>
      <c r="I18" s="22">
        <v>1713</v>
      </c>
      <c r="J18" s="60">
        <f t="shared" si="1"/>
        <v>0.770927092709271</v>
      </c>
      <c r="K18" s="16" t="s">
        <v>144</v>
      </c>
      <c r="L18" s="52">
        <f t="shared" ref="L18:N18" si="5">SUM(L19:L29)</f>
        <v>52639</v>
      </c>
      <c r="M18" s="52">
        <f t="shared" si="5"/>
        <v>128194</v>
      </c>
      <c r="N18" s="52">
        <f t="shared" si="5"/>
        <v>107691</v>
      </c>
      <c r="O18" s="18">
        <f t="shared" ref="O18:O30" si="6">N18/M18</f>
        <v>0.840062717443874</v>
      </c>
    </row>
    <row r="19" ht="16.5" customHeight="1" spans="1:15">
      <c r="A19" s="1" t="s">
        <v>53</v>
      </c>
      <c r="B19" s="68">
        <v>2000</v>
      </c>
      <c r="C19" s="68">
        <v>3257</v>
      </c>
      <c r="D19" s="51">
        <v>3257</v>
      </c>
      <c r="E19" s="5">
        <f t="shared" si="4"/>
        <v>1</v>
      </c>
      <c r="F19" s="1" t="s">
        <v>54</v>
      </c>
      <c r="G19" s="51">
        <v>570</v>
      </c>
      <c r="H19" s="22">
        <v>22496</v>
      </c>
      <c r="I19" s="22">
        <v>22360</v>
      </c>
      <c r="J19" s="60">
        <f t="shared" si="1"/>
        <v>0.993954480796586</v>
      </c>
      <c r="K19" s="42" t="s">
        <v>52</v>
      </c>
      <c r="L19" s="22"/>
      <c r="M19" s="22">
        <v>1586</v>
      </c>
      <c r="N19" s="51">
        <v>714</v>
      </c>
      <c r="O19" s="5">
        <f t="shared" si="6"/>
        <v>0.450189155107188</v>
      </c>
    </row>
    <row r="20" ht="16.5" customHeight="1" spans="1:15">
      <c r="A20" s="1" t="s">
        <v>56</v>
      </c>
      <c r="B20" s="68">
        <v>180</v>
      </c>
      <c r="C20" s="68">
        <v>125</v>
      </c>
      <c r="D20" s="51">
        <v>125</v>
      </c>
      <c r="E20" s="5">
        <f t="shared" si="4"/>
        <v>1</v>
      </c>
      <c r="F20" s="1" t="s">
        <v>57</v>
      </c>
      <c r="G20" s="51">
        <v>0</v>
      </c>
      <c r="H20" s="22">
        <v>301</v>
      </c>
      <c r="I20" s="22">
        <v>301</v>
      </c>
      <c r="J20" s="60">
        <f t="shared" si="1"/>
        <v>1</v>
      </c>
      <c r="K20" s="81" t="s">
        <v>55</v>
      </c>
      <c r="L20">
        <v>46148</v>
      </c>
      <c r="M20">
        <v>98420</v>
      </c>
      <c r="N20" s="51">
        <v>94439</v>
      </c>
      <c r="O20" s="5">
        <f t="shared" si="6"/>
        <v>0.959550904287746</v>
      </c>
    </row>
    <row r="21" ht="16.5" customHeight="1" spans="1:15">
      <c r="A21" s="1" t="s">
        <v>59</v>
      </c>
      <c r="B21" s="51">
        <v>400</v>
      </c>
      <c r="C21" s="51">
        <v>1628</v>
      </c>
      <c r="D21" s="51">
        <v>1628</v>
      </c>
      <c r="E21" s="5">
        <f t="shared" si="4"/>
        <v>1</v>
      </c>
      <c r="F21" s="1" t="s">
        <v>60</v>
      </c>
      <c r="G21" s="51">
        <v>1545</v>
      </c>
      <c r="H21" s="22">
        <v>11622</v>
      </c>
      <c r="I21" s="22">
        <v>1721</v>
      </c>
      <c r="J21" s="60">
        <f t="shared" ref="J21:J26" si="7">I21/H21</f>
        <v>0.148081225262433</v>
      </c>
      <c r="K21" s="42" t="s">
        <v>58</v>
      </c>
      <c r="L21" s="22"/>
      <c r="M21" s="22">
        <v>31</v>
      </c>
      <c r="N21" s="51">
        <v>31</v>
      </c>
      <c r="O21" s="5">
        <f t="shared" si="6"/>
        <v>1</v>
      </c>
    </row>
    <row r="22" ht="16.5" customHeight="1" spans="1:15">
      <c r="A22" s="1" t="s">
        <v>62</v>
      </c>
      <c r="B22" s="51">
        <v>6320</v>
      </c>
      <c r="C22" s="51">
        <v>7172</v>
      </c>
      <c r="D22" s="51">
        <v>7617</v>
      </c>
      <c r="E22" s="5">
        <f t="shared" si="4"/>
        <v>1.06204684885666</v>
      </c>
      <c r="F22" s="1" t="s">
        <v>63</v>
      </c>
      <c r="G22" s="51">
        <v>94</v>
      </c>
      <c r="H22" s="22">
        <v>3022</v>
      </c>
      <c r="I22" s="22">
        <v>914</v>
      </c>
      <c r="J22" s="60">
        <f t="shared" si="7"/>
        <v>0.302448709463931</v>
      </c>
      <c r="K22" s="42" t="s">
        <v>61</v>
      </c>
      <c r="L22" s="22">
        <v>2200</v>
      </c>
      <c r="M22" s="22">
        <v>3477</v>
      </c>
      <c r="N22" s="51">
        <v>2481</v>
      </c>
      <c r="O22" s="5">
        <f t="shared" si="6"/>
        <v>0.713546160483175</v>
      </c>
    </row>
    <row r="23" ht="16.5" customHeight="1" spans="1:15">
      <c r="A23" s="1" t="s">
        <v>65</v>
      </c>
      <c r="B23" s="51"/>
      <c r="C23" s="51"/>
      <c r="D23" s="51"/>
      <c r="E23" s="5"/>
      <c r="F23" s="1" t="s">
        <v>66</v>
      </c>
      <c r="G23" s="51">
        <v>2200</v>
      </c>
      <c r="H23" s="22">
        <v>815</v>
      </c>
      <c r="I23" s="22">
        <v>815</v>
      </c>
      <c r="J23" s="60">
        <f t="shared" si="7"/>
        <v>1</v>
      </c>
      <c r="K23" s="42" t="s">
        <v>64</v>
      </c>
      <c r="L23" s="22">
        <v>820</v>
      </c>
      <c r="M23" s="22">
        <v>1088</v>
      </c>
      <c r="N23" s="51">
        <v>820</v>
      </c>
      <c r="O23" s="5">
        <f t="shared" si="6"/>
        <v>0.753676470588235</v>
      </c>
    </row>
    <row r="24" ht="16.5" customHeight="1" spans="1:15">
      <c r="A24" s="21" t="s">
        <v>68</v>
      </c>
      <c r="B24" s="52">
        <f>SUM(B25,B27:B32)</f>
        <v>37000</v>
      </c>
      <c r="C24" s="52">
        <f>SUM(C25,C27:C32)</f>
        <v>41300</v>
      </c>
      <c r="D24" s="52">
        <f>SUM(D25,D27:D32)</f>
        <v>40174</v>
      </c>
      <c r="E24" s="18">
        <f t="shared" ref="E24:E28" si="8">D24/C24</f>
        <v>0.97273607748184</v>
      </c>
      <c r="F24" s="1" t="s">
        <v>69</v>
      </c>
      <c r="G24" s="51">
        <v>2225</v>
      </c>
      <c r="H24" s="22">
        <v>3965</v>
      </c>
      <c r="I24" s="22">
        <v>3320</v>
      </c>
      <c r="J24" s="60">
        <f t="shared" si="7"/>
        <v>0.837326607818411</v>
      </c>
      <c r="K24" s="42" t="s">
        <v>171</v>
      </c>
      <c r="L24" s="22"/>
      <c r="M24" s="22"/>
      <c r="N24" s="51"/>
      <c r="O24" s="5" t="e">
        <f t="shared" si="6"/>
        <v>#DIV/0!</v>
      </c>
    </row>
    <row r="25" ht="16.5" customHeight="1" spans="1:15">
      <c r="A25" s="1" t="s">
        <v>71</v>
      </c>
      <c r="B25" s="51">
        <v>8000</v>
      </c>
      <c r="C25" s="51">
        <v>11100</v>
      </c>
      <c r="D25" s="51">
        <v>9747</v>
      </c>
      <c r="E25" s="5">
        <f t="shared" si="8"/>
        <v>0.878108108108108</v>
      </c>
      <c r="F25" s="1" t="s">
        <v>72</v>
      </c>
      <c r="G25" s="51">
        <v>15660</v>
      </c>
      <c r="H25" s="22">
        <v>15428</v>
      </c>
      <c r="I25" s="22">
        <v>15428</v>
      </c>
      <c r="J25" s="60">
        <f t="shared" si="7"/>
        <v>1</v>
      </c>
      <c r="K25" s="81" t="s">
        <v>70</v>
      </c>
      <c r="L25" s="22"/>
      <c r="M25" s="22">
        <v>280</v>
      </c>
      <c r="N25" s="51">
        <v>240</v>
      </c>
      <c r="O25" s="5">
        <f t="shared" si="6"/>
        <v>0.857142857142857</v>
      </c>
    </row>
    <row r="26" ht="16.5" customHeight="1" spans="1:15">
      <c r="A26" s="1" t="s">
        <v>151</v>
      </c>
      <c r="B26" s="51">
        <v>2000</v>
      </c>
      <c r="C26" s="51">
        <v>2200</v>
      </c>
      <c r="D26" s="51">
        <v>2198</v>
      </c>
      <c r="E26" s="5">
        <f t="shared" si="8"/>
        <v>0.999090909090909</v>
      </c>
      <c r="F26" s="1" t="s">
        <v>75</v>
      </c>
      <c r="G26" s="51">
        <v>3000</v>
      </c>
      <c r="H26" s="22">
        <v>261</v>
      </c>
      <c r="I26" s="22">
        <v>141</v>
      </c>
      <c r="J26" s="60">
        <f t="shared" si="7"/>
        <v>0.540229885057471</v>
      </c>
      <c r="K26" s="42" t="s">
        <v>73</v>
      </c>
      <c r="L26" s="22">
        <v>471</v>
      </c>
      <c r="M26" s="22">
        <v>1495</v>
      </c>
      <c r="N26" s="51">
        <v>1205</v>
      </c>
      <c r="O26" s="5">
        <f t="shared" si="6"/>
        <v>0.806020066889632</v>
      </c>
    </row>
    <row r="27" ht="16.5" customHeight="1" spans="1:15">
      <c r="A27" s="1" t="s">
        <v>77</v>
      </c>
      <c r="B27" s="4">
        <v>4300</v>
      </c>
      <c r="C27" s="51">
        <v>4300</v>
      </c>
      <c r="D27" s="51">
        <v>4131</v>
      </c>
      <c r="E27" s="5">
        <f t="shared" si="8"/>
        <v>0.960697674418605</v>
      </c>
      <c r="F27" s="26" t="s">
        <v>78</v>
      </c>
      <c r="G27" s="69">
        <f t="shared" ref="G27:I27" si="9">SUM(G28:G29)</f>
        <v>8800</v>
      </c>
      <c r="H27" s="69">
        <f t="shared" si="9"/>
        <v>8800</v>
      </c>
      <c r="I27" s="69">
        <f t="shared" si="9"/>
        <v>7560</v>
      </c>
      <c r="J27" s="5"/>
      <c r="K27" s="81" t="s">
        <v>172</v>
      </c>
      <c r="L27" s="22"/>
      <c r="M27" s="22">
        <v>19095</v>
      </c>
      <c r="N27" s="51">
        <v>5039</v>
      </c>
      <c r="O27" s="5">
        <f t="shared" si="6"/>
        <v>0.263891070960985</v>
      </c>
    </row>
    <row r="28" ht="16.5" customHeight="1" spans="1:15">
      <c r="A28" s="1" t="s">
        <v>80</v>
      </c>
      <c r="B28" s="4">
        <v>2200</v>
      </c>
      <c r="C28" s="51">
        <v>2600</v>
      </c>
      <c r="D28" s="51">
        <v>2609</v>
      </c>
      <c r="E28" s="5">
        <f t="shared" si="8"/>
        <v>1.00346153846154</v>
      </c>
      <c r="F28" s="1" t="s">
        <v>81</v>
      </c>
      <c r="G28" s="51">
        <v>3403</v>
      </c>
      <c r="H28" s="22">
        <v>3403</v>
      </c>
      <c r="I28" s="22">
        <v>3403</v>
      </c>
      <c r="J28" s="5"/>
      <c r="K28" s="42" t="s">
        <v>173</v>
      </c>
      <c r="L28" s="22">
        <v>2950</v>
      </c>
      <c r="M28" s="22">
        <v>2703</v>
      </c>
      <c r="N28" s="51">
        <v>2703</v>
      </c>
      <c r="O28" s="5">
        <f t="shared" si="6"/>
        <v>1</v>
      </c>
    </row>
    <row r="29" ht="16.5" customHeight="1" spans="1:15">
      <c r="A29" s="1" t="s">
        <v>155</v>
      </c>
      <c r="B29" s="4"/>
      <c r="C29" s="51">
        <v>2000</v>
      </c>
      <c r="D29" s="51">
        <v>2300</v>
      </c>
      <c r="E29" s="5"/>
      <c r="F29" s="1" t="s">
        <v>84</v>
      </c>
      <c r="G29" s="71">
        <v>5397</v>
      </c>
      <c r="H29" s="22">
        <v>5397</v>
      </c>
      <c r="I29" s="22">
        <v>4157</v>
      </c>
      <c r="J29" s="5"/>
      <c r="K29" s="42" t="s">
        <v>174</v>
      </c>
      <c r="L29" s="22">
        <v>50</v>
      </c>
      <c r="M29" s="22">
        <v>19</v>
      </c>
      <c r="N29" s="51">
        <v>19</v>
      </c>
      <c r="O29" s="5">
        <f t="shared" si="6"/>
        <v>1</v>
      </c>
    </row>
    <row r="30" ht="16.5" customHeight="1" spans="1:15">
      <c r="A30" s="1" t="s">
        <v>86</v>
      </c>
      <c r="B30" s="4">
        <v>4000</v>
      </c>
      <c r="C30" s="51">
        <v>2600</v>
      </c>
      <c r="D30" s="51">
        <v>2769</v>
      </c>
      <c r="E30" s="5">
        <f t="shared" ref="E30:E32" si="10">D30/C30</f>
        <v>1.065</v>
      </c>
      <c r="F30" s="26" t="s">
        <v>87</v>
      </c>
      <c r="G30" s="72"/>
      <c r="H30" s="19">
        <v>7902</v>
      </c>
      <c r="I30" s="19">
        <v>19756</v>
      </c>
      <c r="J30" s="5"/>
      <c r="K30" s="16" t="s">
        <v>82</v>
      </c>
      <c r="L30" s="19">
        <v>109702</v>
      </c>
      <c r="M30" s="19">
        <v>113122</v>
      </c>
      <c r="N30" s="41">
        <v>106710</v>
      </c>
      <c r="O30" s="5">
        <f t="shared" si="6"/>
        <v>0.943317833843107</v>
      </c>
    </row>
    <row r="31" ht="16.5" customHeight="1" spans="1:15">
      <c r="A31" s="1" t="s">
        <v>89</v>
      </c>
      <c r="B31" s="4">
        <v>55</v>
      </c>
      <c r="C31" s="51">
        <v>60</v>
      </c>
      <c r="D31" s="51">
        <v>64</v>
      </c>
      <c r="E31" s="5">
        <f t="shared" si="10"/>
        <v>1.06666666666667</v>
      </c>
      <c r="F31" s="26" t="s">
        <v>90</v>
      </c>
      <c r="G31" s="72"/>
      <c r="H31" s="22"/>
      <c r="I31" s="19">
        <v>10545</v>
      </c>
      <c r="J31" s="5"/>
      <c r="K31" s="21" t="s">
        <v>175</v>
      </c>
      <c r="L31" s="22"/>
      <c r="M31" s="19"/>
      <c r="N31" s="52"/>
      <c r="O31" s="5"/>
    </row>
    <row r="32" ht="16.5" customHeight="1" spans="1:15">
      <c r="A32" s="1" t="s">
        <v>158</v>
      </c>
      <c r="B32" s="4">
        <v>18445</v>
      </c>
      <c r="C32" s="51">
        <v>18640</v>
      </c>
      <c r="D32" s="51">
        <v>18554</v>
      </c>
      <c r="E32" s="5">
        <f t="shared" si="10"/>
        <v>0.995386266094421</v>
      </c>
      <c r="F32" s="26" t="s">
        <v>93</v>
      </c>
      <c r="G32" s="72"/>
      <c r="H32" s="19"/>
      <c r="I32" s="19">
        <v>114</v>
      </c>
      <c r="J32" s="5"/>
      <c r="K32" s="21" t="s">
        <v>159</v>
      </c>
      <c r="L32" s="22"/>
      <c r="M32" s="22"/>
      <c r="N32" s="52">
        <v>20503</v>
      </c>
      <c r="O32" s="4"/>
    </row>
    <row r="33" ht="16.5" customHeight="1" spans="1:15">
      <c r="A33" s="28" t="s">
        <v>94</v>
      </c>
      <c r="B33" s="52">
        <f>SUM(B34:B36)</f>
        <v>74953</v>
      </c>
      <c r="C33" s="52">
        <f>SUM(C34:C36)</f>
        <v>81271</v>
      </c>
      <c r="D33" s="52">
        <f>SUM(D34:D36)</f>
        <v>174812</v>
      </c>
      <c r="E33" s="18"/>
      <c r="F33" s="26" t="s">
        <v>95</v>
      </c>
      <c r="G33" s="72"/>
      <c r="H33" s="19"/>
      <c r="I33" s="19"/>
      <c r="J33" s="5"/>
      <c r="K33" s="21" t="s">
        <v>91</v>
      </c>
      <c r="L33" s="19">
        <f>SUM(L18,L30:L31)</f>
        <v>162341</v>
      </c>
      <c r="M33" s="22"/>
      <c r="N33" s="19">
        <f>SUM(N18,N30:N32)</f>
        <v>234904</v>
      </c>
      <c r="O33" s="4"/>
    </row>
    <row r="34" ht="16.5" customHeight="1" spans="1:15">
      <c r="A34" s="29" t="s">
        <v>96</v>
      </c>
      <c r="B34" s="51">
        <v>10690</v>
      </c>
      <c r="C34" s="51">
        <v>10690</v>
      </c>
      <c r="D34" s="51">
        <v>10690</v>
      </c>
      <c r="E34" s="5"/>
      <c r="F34" s="21" t="s">
        <v>97</v>
      </c>
      <c r="G34" s="52"/>
      <c r="H34" s="22"/>
      <c r="I34" s="19">
        <v>57460</v>
      </c>
      <c r="J34" s="5"/>
      <c r="K34" s="93" t="s">
        <v>98</v>
      </c>
      <c r="L34" s="94"/>
      <c r="M34" s="94"/>
      <c r="N34" s="94"/>
      <c r="O34" s="95"/>
    </row>
    <row r="35" ht="16.5" customHeight="1" spans="1:15">
      <c r="A35" s="29" t="s">
        <v>99</v>
      </c>
      <c r="B35" s="51">
        <v>42615</v>
      </c>
      <c r="C35" s="51">
        <v>48933</v>
      </c>
      <c r="D35" s="51">
        <v>128818</v>
      </c>
      <c r="E35" s="5"/>
      <c r="F35" s="1" t="s">
        <v>100</v>
      </c>
      <c r="G35" s="51"/>
      <c r="H35" s="22"/>
      <c r="I35" s="22">
        <v>57460</v>
      </c>
      <c r="J35" s="5"/>
      <c r="K35" s="21" t="s">
        <v>104</v>
      </c>
      <c r="L35" s="45">
        <v>243</v>
      </c>
      <c r="M35" s="45">
        <v>309</v>
      </c>
      <c r="N35" s="45">
        <v>376</v>
      </c>
      <c r="O35" s="18">
        <f>N35/M35</f>
        <v>1.2168284789644</v>
      </c>
    </row>
    <row r="36" ht="16.5" customHeight="1" spans="1:15">
      <c r="A36" s="29" t="s">
        <v>160</v>
      </c>
      <c r="B36" s="51">
        <v>21648</v>
      </c>
      <c r="C36" s="51">
        <v>21648</v>
      </c>
      <c r="D36" s="51">
        <v>35304</v>
      </c>
      <c r="E36" s="5"/>
      <c r="F36" s="21" t="s">
        <v>103</v>
      </c>
      <c r="G36" s="52">
        <f t="shared" ref="G36:I36" si="11">SUM(G5,G27,G30:G34)</f>
        <v>303048</v>
      </c>
      <c r="H36" s="52">
        <f t="shared" si="11"/>
        <v>453690</v>
      </c>
      <c r="I36" s="52">
        <f t="shared" si="11"/>
        <v>474963</v>
      </c>
      <c r="J36" s="4"/>
      <c r="K36" s="21" t="s">
        <v>107</v>
      </c>
      <c r="L36" s="45"/>
      <c r="M36" s="45"/>
      <c r="N36" s="45">
        <v>10</v>
      </c>
      <c r="O36" s="18"/>
    </row>
    <row r="37" ht="16.5" customHeight="1" spans="1:15">
      <c r="A37" s="33" t="s">
        <v>105</v>
      </c>
      <c r="B37" s="52"/>
      <c r="C37" s="52"/>
      <c r="D37" s="52">
        <v>6443</v>
      </c>
      <c r="E37" s="45"/>
      <c r="F37" s="30" t="s">
        <v>106</v>
      </c>
      <c r="G37" s="31"/>
      <c r="H37" s="31"/>
      <c r="I37" s="31"/>
      <c r="J37" s="48"/>
      <c r="K37" s="21" t="s">
        <v>109</v>
      </c>
      <c r="L37" s="45">
        <v>50</v>
      </c>
      <c r="M37" s="45">
        <v>50</v>
      </c>
      <c r="N37" s="45">
        <v>54</v>
      </c>
      <c r="O37" s="18">
        <f>N37/M37</f>
        <v>1.08</v>
      </c>
    </row>
    <row r="38" ht="16.5" customHeight="1" spans="1:15">
      <c r="A38" s="33" t="s">
        <v>108</v>
      </c>
      <c r="B38" s="52"/>
      <c r="C38" s="52">
        <v>27089</v>
      </c>
      <c r="D38" s="52">
        <v>39051</v>
      </c>
      <c r="E38" s="1"/>
      <c r="F38" s="15" t="s">
        <v>6</v>
      </c>
      <c r="G38" s="4" t="s">
        <v>129</v>
      </c>
      <c r="H38" s="4" t="s">
        <v>130</v>
      </c>
      <c r="I38" s="4" t="s">
        <v>131</v>
      </c>
      <c r="J38" s="4" t="s">
        <v>132</v>
      </c>
      <c r="K38" s="21" t="s">
        <v>114</v>
      </c>
      <c r="L38" s="107">
        <v>193</v>
      </c>
      <c r="M38" s="108">
        <v>259</v>
      </c>
      <c r="N38" s="45">
        <v>326</v>
      </c>
      <c r="O38" s="18"/>
    </row>
    <row r="39" ht="16.5" customHeight="1" spans="1:15">
      <c r="A39" s="87" t="s">
        <v>110</v>
      </c>
      <c r="B39" s="52"/>
      <c r="C39" s="52">
        <v>15507</v>
      </c>
      <c r="D39" s="52">
        <v>15507</v>
      </c>
      <c r="E39" s="5"/>
      <c r="F39" s="21" t="s">
        <v>12</v>
      </c>
      <c r="G39" s="85">
        <f>B5</f>
        <v>118200</v>
      </c>
      <c r="H39" s="85">
        <f>C5</f>
        <v>130100</v>
      </c>
      <c r="I39" s="85">
        <f>D5</f>
        <v>131944</v>
      </c>
      <c r="J39" s="18">
        <f t="shared" ref="J39:J46" si="12">I39/H39</f>
        <v>1.01417371252882</v>
      </c>
      <c r="K39" s="21" t="s">
        <v>176</v>
      </c>
      <c r="L39" s="45"/>
      <c r="M39" s="45"/>
      <c r="N39" s="45">
        <v>6</v>
      </c>
      <c r="O39" s="18"/>
    </row>
    <row r="40" ht="16.5" customHeight="1" spans="1:15">
      <c r="A40" s="33" t="s">
        <v>112</v>
      </c>
      <c r="B40" s="52">
        <v>109895</v>
      </c>
      <c r="C40" s="52">
        <v>113381</v>
      </c>
      <c r="D40" s="52">
        <v>107206</v>
      </c>
      <c r="E40" s="5"/>
      <c r="F40" s="34" t="s">
        <v>113</v>
      </c>
      <c r="G40" s="85">
        <f t="shared" ref="G40:I40" si="13">SUM(G41:G45)</f>
        <v>66200</v>
      </c>
      <c r="H40" s="85">
        <f t="shared" si="13"/>
        <v>70100</v>
      </c>
      <c r="I40" s="85">
        <f t="shared" si="13"/>
        <v>70673.5</v>
      </c>
      <c r="J40" s="18">
        <f t="shared" si="12"/>
        <v>1.00818116975749</v>
      </c>
      <c r="K40" s="93" t="s">
        <v>116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164</v>
      </c>
      <c r="G41" s="51">
        <f>B7</f>
        <v>34380</v>
      </c>
      <c r="H41" s="51">
        <f>C7</f>
        <v>32100</v>
      </c>
      <c r="I41" s="51">
        <f>D7</f>
        <v>32010</v>
      </c>
      <c r="J41" s="5">
        <f t="shared" si="12"/>
        <v>0.997196261682243</v>
      </c>
      <c r="K41" s="21" t="s">
        <v>119</v>
      </c>
      <c r="L41" s="45">
        <v>54300</v>
      </c>
      <c r="M41" s="45">
        <v>54300</v>
      </c>
      <c r="N41" s="21">
        <v>53531</v>
      </c>
      <c r="O41" s="18">
        <f>N41/M41</f>
        <v>0.985837937384899</v>
      </c>
    </row>
    <row r="42" ht="16.5" customHeight="1" spans="1:15">
      <c r="A42" s="33"/>
      <c r="B42" s="51"/>
      <c r="C42" s="52"/>
      <c r="D42" s="52"/>
      <c r="E42" s="5"/>
      <c r="F42" s="35" t="s">
        <v>117</v>
      </c>
      <c r="G42" s="51">
        <f>B11*1.5</f>
        <v>14100</v>
      </c>
      <c r="H42" s="51">
        <f>C11*1.5</f>
        <v>20775</v>
      </c>
      <c r="I42" s="51">
        <f>D11*1.5</f>
        <v>20887.5</v>
      </c>
      <c r="J42" s="5">
        <f t="shared" si="12"/>
        <v>1.00541516245487</v>
      </c>
      <c r="K42" s="1" t="s">
        <v>166</v>
      </c>
      <c r="L42" s="104">
        <v>22088</v>
      </c>
      <c r="M42" s="67">
        <v>22088</v>
      </c>
      <c r="N42" s="1">
        <v>21573</v>
      </c>
      <c r="O42" s="18">
        <f>N42/M42</f>
        <v>0.976684172401304</v>
      </c>
    </row>
    <row r="43" ht="17.25" customHeight="1" spans="1:15">
      <c r="A43" s="33"/>
      <c r="B43" s="51"/>
      <c r="C43" s="51"/>
      <c r="D43" s="52"/>
      <c r="E43" s="5"/>
      <c r="F43" s="35" t="s">
        <v>118</v>
      </c>
      <c r="G43" s="51">
        <f>B12*1.5</f>
        <v>11400</v>
      </c>
      <c r="H43" s="51">
        <f>C12*1.5</f>
        <v>12075</v>
      </c>
      <c r="I43" s="51">
        <f>D12*1.5-1</f>
        <v>12533</v>
      </c>
      <c r="J43" s="5">
        <f t="shared" si="12"/>
        <v>1.03792960662526</v>
      </c>
      <c r="K43" s="1" t="s">
        <v>167</v>
      </c>
      <c r="L43" s="104">
        <v>29934</v>
      </c>
      <c r="M43" s="67">
        <v>29934</v>
      </c>
      <c r="N43" s="1">
        <v>29549</v>
      </c>
      <c r="O43" s="18">
        <f>N43/M43</f>
        <v>0.987138371083049</v>
      </c>
    </row>
    <row r="44" ht="21" customHeight="1" spans="1:15">
      <c r="A44" s="33"/>
      <c r="B44" s="51"/>
      <c r="C44" s="51"/>
      <c r="D44" s="52"/>
      <c r="E44" s="5"/>
      <c r="F44" s="35" t="s">
        <v>120</v>
      </c>
      <c r="G44" s="51">
        <v>100</v>
      </c>
      <c r="H44" s="51">
        <v>70</v>
      </c>
      <c r="I44" s="51">
        <v>68</v>
      </c>
      <c r="J44" s="5">
        <f t="shared" si="12"/>
        <v>0.971428571428571</v>
      </c>
      <c r="K44" s="21" t="s">
        <v>121</v>
      </c>
      <c r="L44" s="96">
        <v>45458</v>
      </c>
      <c r="M44" s="66">
        <v>45458</v>
      </c>
      <c r="N44" s="21">
        <v>45354</v>
      </c>
      <c r="O44" s="18">
        <f>N44/M44</f>
        <v>0.997712173874786</v>
      </c>
    </row>
    <row r="45" ht="15.95" customHeight="1" spans="1:15">
      <c r="A45" s="33"/>
      <c r="B45" s="51"/>
      <c r="C45" s="51"/>
      <c r="D45" s="52"/>
      <c r="E45" s="5"/>
      <c r="F45" s="102" t="s">
        <v>168</v>
      </c>
      <c r="G45" s="4">
        <v>6220</v>
      </c>
      <c r="H45" s="4">
        <v>5080</v>
      </c>
      <c r="I45" s="4">
        <v>5175</v>
      </c>
      <c r="J45" s="5">
        <f t="shared" si="12"/>
        <v>1.01870078740157</v>
      </c>
      <c r="K45" s="21" t="s">
        <v>123</v>
      </c>
      <c r="L45" s="21">
        <f t="shared" ref="L45:N45" si="14">L41-L44</f>
        <v>8842</v>
      </c>
      <c r="M45" s="21">
        <f t="shared" si="14"/>
        <v>8842</v>
      </c>
      <c r="N45" s="21">
        <f t="shared" si="14"/>
        <v>8177</v>
      </c>
      <c r="O45" s="18"/>
    </row>
    <row r="46" ht="15.95" customHeight="1" spans="1:15">
      <c r="A46" s="28" t="s">
        <v>124</v>
      </c>
      <c r="B46" s="52">
        <f>SUM(B5,B33,B37:B40)</f>
        <v>303048</v>
      </c>
      <c r="C46" s="52"/>
      <c r="D46" s="52">
        <f>SUM(D5,D33,D37:D40)</f>
        <v>474963</v>
      </c>
      <c r="E46" s="5"/>
      <c r="F46" s="36" t="s">
        <v>125</v>
      </c>
      <c r="G46" s="85">
        <f t="shared" ref="G46:I46" si="15">SUM(G39:G40)</f>
        <v>184400</v>
      </c>
      <c r="H46" s="85">
        <f t="shared" si="15"/>
        <v>200200</v>
      </c>
      <c r="I46" s="85">
        <f t="shared" si="15"/>
        <v>202617.5</v>
      </c>
      <c r="J46" s="18">
        <f t="shared" si="12"/>
        <v>1.01207542457542</v>
      </c>
      <c r="K46" s="21" t="s">
        <v>126</v>
      </c>
      <c r="L46" s="1"/>
      <c r="M46" s="1"/>
      <c r="N46" s="21">
        <v>71330</v>
      </c>
      <c r="O46" s="18"/>
    </row>
  </sheetData>
  <mergeCells count="8">
    <mergeCell ref="A1:O1"/>
    <mergeCell ref="A3:E3"/>
    <mergeCell ref="F3:J3"/>
    <mergeCell ref="K3:O3"/>
    <mergeCell ref="K16:O16"/>
    <mergeCell ref="K34:O34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showZeros="0" topLeftCell="B10" workbookViewId="0">
      <selection activeCell="A32" sqref="A32"/>
    </sheetView>
  </sheetViews>
  <sheetFormatPr defaultColWidth="9" defaultRowHeight="14.25"/>
  <cols>
    <col min="1" max="1" width="25.875" customWidth="1"/>
    <col min="2" max="2" width="8.875" customWidth="1"/>
    <col min="3" max="3" width="11.125" customWidth="1"/>
    <col min="4" max="4" width="8.3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177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178</v>
      </c>
      <c r="C4" s="15" t="s">
        <v>179</v>
      </c>
      <c r="D4" s="15" t="s">
        <v>9</v>
      </c>
      <c r="E4" s="15" t="s">
        <v>10</v>
      </c>
      <c r="F4" s="15" t="s">
        <v>6</v>
      </c>
      <c r="G4" s="15" t="s">
        <v>178</v>
      </c>
      <c r="H4" s="15" t="s">
        <v>180</v>
      </c>
      <c r="I4" s="15" t="s">
        <v>11</v>
      </c>
      <c r="J4" s="15" t="s">
        <v>10</v>
      </c>
      <c r="K4" s="15" t="s">
        <v>6</v>
      </c>
      <c r="L4" s="15" t="s">
        <v>178</v>
      </c>
      <c r="M4" s="15" t="s">
        <v>180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SUM(B6,B24)</f>
        <v>122700</v>
      </c>
      <c r="C5" s="52">
        <f>SUM(C6,C24)</f>
        <v>118184</v>
      </c>
      <c r="D5" s="88">
        <f>C5-B5</f>
        <v>-4516</v>
      </c>
      <c r="E5" s="18">
        <f t="shared" ref="E5:E40" si="0">D5/B5</f>
        <v>-0.0368052159739201</v>
      </c>
      <c r="F5" s="21" t="s">
        <v>13</v>
      </c>
      <c r="G5" s="19">
        <f>SUM(G6:G26)</f>
        <v>333014</v>
      </c>
      <c r="H5" s="19">
        <f>SUM(H6:H26)</f>
        <v>371395</v>
      </c>
      <c r="I5" s="19">
        <f>SUM(I6:I26)</f>
        <v>38381</v>
      </c>
      <c r="J5" s="18">
        <f t="shared" ref="J5:J36" si="1">I5/G5</f>
        <v>0.115253412769433</v>
      </c>
      <c r="K5" s="46" t="s">
        <v>14</v>
      </c>
      <c r="L5" s="52">
        <f>SUM(L6:L9)</f>
        <v>152518</v>
      </c>
      <c r="M5" s="52">
        <f>SUM(M6:M9)</f>
        <v>129681</v>
      </c>
      <c r="N5" s="88">
        <f>SUM(N6:N9)</f>
        <v>-22837</v>
      </c>
      <c r="O5" s="18">
        <f t="shared" ref="O5:O11" si="2">N5/L5</f>
        <v>-0.14973314625159</v>
      </c>
    </row>
    <row r="6" ht="17.25" customHeight="1" spans="1:15">
      <c r="A6" s="21" t="s">
        <v>15</v>
      </c>
      <c r="B6" s="52">
        <f>SUM(B7,B10:B23)</f>
        <v>87791</v>
      </c>
      <c r="C6" s="52">
        <f>SUM(C7,C10:C23)</f>
        <v>77122</v>
      </c>
      <c r="D6" s="88">
        <f>SUM(D7,D10:D23)</f>
        <v>-10669</v>
      </c>
      <c r="E6" s="18">
        <f t="shared" si="0"/>
        <v>-0.121527263614721</v>
      </c>
      <c r="F6" s="1" t="s">
        <v>16</v>
      </c>
      <c r="G6" s="22">
        <v>31379</v>
      </c>
      <c r="H6" s="22">
        <v>30518</v>
      </c>
      <c r="I6" s="51">
        <f t="shared" ref="I6:I36" si="3">H6-G6</f>
        <v>-861</v>
      </c>
      <c r="J6" s="5">
        <f t="shared" si="1"/>
        <v>-0.0274387329105453</v>
      </c>
      <c r="K6" s="42" t="s">
        <v>17</v>
      </c>
      <c r="L6" s="51">
        <v>150134</v>
      </c>
      <c r="M6" s="51">
        <v>125916</v>
      </c>
      <c r="N6" s="51">
        <f t="shared" ref="N6:N14" si="4">M6-L6</f>
        <v>-24218</v>
      </c>
      <c r="O6" s="5">
        <f t="shared" si="2"/>
        <v>-0.161309230420824</v>
      </c>
    </row>
    <row r="7" ht="17.25" customHeight="1" spans="1:15">
      <c r="A7" s="1" t="s">
        <v>18</v>
      </c>
      <c r="B7" s="51">
        <f>SUM(B8:B9)</f>
        <v>45199</v>
      </c>
      <c r="C7" s="51">
        <f>SUM(C8:C9)</f>
        <v>31173</v>
      </c>
      <c r="D7" s="51">
        <f>SUM(D8:D9)</f>
        <v>-14026</v>
      </c>
      <c r="E7" s="5">
        <f t="shared" si="0"/>
        <v>-0.310316599924777</v>
      </c>
      <c r="F7" s="1" t="s">
        <v>19</v>
      </c>
      <c r="G7" s="22">
        <v>343</v>
      </c>
      <c r="H7" s="22">
        <v>346</v>
      </c>
      <c r="I7" s="51">
        <f t="shared" si="3"/>
        <v>3</v>
      </c>
      <c r="J7" s="5">
        <f t="shared" si="1"/>
        <v>0.0087463556851312</v>
      </c>
      <c r="K7" s="42" t="s">
        <v>20</v>
      </c>
      <c r="L7" s="51">
        <v>1149</v>
      </c>
      <c r="M7" s="51">
        <v>2535</v>
      </c>
      <c r="N7" s="51">
        <f t="shared" si="4"/>
        <v>1386</v>
      </c>
      <c r="O7" s="5">
        <f t="shared" si="2"/>
        <v>1.20626631853786</v>
      </c>
    </row>
    <row r="8" ht="17.25" customHeight="1" spans="1:15">
      <c r="A8" s="1" t="s">
        <v>21</v>
      </c>
      <c r="B8" s="51">
        <v>28569</v>
      </c>
      <c r="C8" s="51">
        <v>20047</v>
      </c>
      <c r="D8" s="51">
        <f t="shared" ref="D8:D22" si="5">C8-B8</f>
        <v>-8522</v>
      </c>
      <c r="E8" s="5">
        <f t="shared" si="0"/>
        <v>-0.298295355105184</v>
      </c>
      <c r="F8" s="1" t="s">
        <v>22</v>
      </c>
      <c r="G8" s="22">
        <v>12394</v>
      </c>
      <c r="H8" s="22">
        <v>13040</v>
      </c>
      <c r="I8" s="51">
        <f t="shared" si="3"/>
        <v>646</v>
      </c>
      <c r="J8" s="5">
        <f t="shared" si="1"/>
        <v>0.0521219945134743</v>
      </c>
      <c r="K8" s="42" t="s">
        <v>23</v>
      </c>
      <c r="L8" s="51">
        <v>537</v>
      </c>
      <c r="M8" s="51">
        <v>413</v>
      </c>
      <c r="N8" s="51">
        <f t="shared" si="4"/>
        <v>-124</v>
      </c>
      <c r="O8" s="5">
        <f t="shared" si="2"/>
        <v>-0.230912476722533</v>
      </c>
    </row>
    <row r="9" ht="17.25" customHeight="1" spans="1:15">
      <c r="A9" s="1" t="s">
        <v>24</v>
      </c>
      <c r="B9" s="51">
        <v>16630</v>
      </c>
      <c r="C9" s="51">
        <v>11126</v>
      </c>
      <c r="D9" s="51">
        <f t="shared" si="5"/>
        <v>-5504</v>
      </c>
      <c r="E9" s="5">
        <f t="shared" si="0"/>
        <v>-0.330968129885749</v>
      </c>
      <c r="F9" s="1" t="s">
        <v>25</v>
      </c>
      <c r="G9" s="22">
        <v>87048</v>
      </c>
      <c r="H9" s="22">
        <v>90657</v>
      </c>
      <c r="I9" s="51">
        <f t="shared" si="3"/>
        <v>3609</v>
      </c>
      <c r="J9" s="5">
        <f t="shared" si="1"/>
        <v>0.0414598842018197</v>
      </c>
      <c r="K9" s="42" t="s">
        <v>26</v>
      </c>
      <c r="L9" s="51">
        <v>698</v>
      </c>
      <c r="M9" s="51">
        <v>817</v>
      </c>
      <c r="N9" s="51">
        <f t="shared" si="4"/>
        <v>119</v>
      </c>
      <c r="O9" s="5">
        <f t="shared" si="2"/>
        <v>0.170487106017192</v>
      </c>
    </row>
    <row r="10" ht="17.25" customHeight="1" spans="1:15">
      <c r="A10" s="1" t="s">
        <v>27</v>
      </c>
      <c r="B10" s="51"/>
      <c r="C10" s="51"/>
      <c r="D10" s="51">
        <f t="shared" si="5"/>
        <v>0</v>
      </c>
      <c r="E10" s="5"/>
      <c r="F10" s="1" t="s">
        <v>28</v>
      </c>
      <c r="G10" s="22">
        <v>3488</v>
      </c>
      <c r="H10" s="22">
        <v>3543</v>
      </c>
      <c r="I10" s="51">
        <f t="shared" si="3"/>
        <v>55</v>
      </c>
      <c r="J10" s="5">
        <f t="shared" si="1"/>
        <v>0.0157683486238532</v>
      </c>
      <c r="K10" s="21" t="s">
        <v>32</v>
      </c>
      <c r="L10" s="85">
        <v>4374</v>
      </c>
      <c r="M10" s="85">
        <v>10343</v>
      </c>
      <c r="N10" s="52">
        <f t="shared" si="4"/>
        <v>5969</v>
      </c>
      <c r="O10" s="18">
        <f t="shared" si="2"/>
        <v>1.36465477823503</v>
      </c>
    </row>
    <row r="11" ht="17.25" customHeight="1" spans="1:15">
      <c r="A11" s="1" t="s">
        <v>30</v>
      </c>
      <c r="B11" s="51">
        <v>11206</v>
      </c>
      <c r="C11" s="51">
        <v>9160</v>
      </c>
      <c r="D11" s="51">
        <f t="shared" si="5"/>
        <v>-2046</v>
      </c>
      <c r="E11" s="5">
        <f t="shared" si="0"/>
        <v>-0.182580760306978</v>
      </c>
      <c r="F11" s="1" t="s">
        <v>31</v>
      </c>
      <c r="G11" s="22">
        <v>4808</v>
      </c>
      <c r="H11" s="22">
        <v>5132</v>
      </c>
      <c r="I11" s="51">
        <f t="shared" si="3"/>
        <v>324</v>
      </c>
      <c r="J11" s="5">
        <f t="shared" si="1"/>
        <v>0.06738768718802</v>
      </c>
      <c r="K11" s="21" t="s">
        <v>35</v>
      </c>
      <c r="L11" s="85">
        <v>1149</v>
      </c>
      <c r="M11" s="85">
        <v>14652</v>
      </c>
      <c r="N11" s="89">
        <f t="shared" si="4"/>
        <v>13503</v>
      </c>
      <c r="O11" s="18">
        <f t="shared" si="2"/>
        <v>11.7519582245431</v>
      </c>
    </row>
    <row r="12" ht="17.25" customHeight="1" spans="1:15">
      <c r="A12" s="1" t="s">
        <v>33</v>
      </c>
      <c r="B12" s="51">
        <v>2152</v>
      </c>
      <c r="C12" s="51">
        <v>10469</v>
      </c>
      <c r="D12" s="51">
        <f t="shared" si="5"/>
        <v>8317</v>
      </c>
      <c r="E12" s="5">
        <f t="shared" si="0"/>
        <v>3.86477695167286</v>
      </c>
      <c r="F12" s="1" t="s">
        <v>34</v>
      </c>
      <c r="G12" s="22">
        <v>41302</v>
      </c>
      <c r="H12" s="22">
        <v>58088</v>
      </c>
      <c r="I12" s="51">
        <f t="shared" si="3"/>
        <v>16786</v>
      </c>
      <c r="J12" s="5">
        <f t="shared" si="1"/>
        <v>0.40642099656191</v>
      </c>
      <c r="K12" s="21" t="s">
        <v>181</v>
      </c>
      <c r="L12" s="85">
        <v>16</v>
      </c>
      <c r="M12" s="85">
        <v>521</v>
      </c>
      <c r="N12" s="52">
        <f t="shared" si="4"/>
        <v>505</v>
      </c>
      <c r="O12" s="18">
        <f t="shared" ref="O12:O14" si="6">N12/L12</f>
        <v>31.5625</v>
      </c>
    </row>
    <row r="13" ht="17.25" customHeight="1" spans="1:15">
      <c r="A13" s="1" t="s">
        <v>36</v>
      </c>
      <c r="B13" s="51">
        <v>2139</v>
      </c>
      <c r="C13" s="51">
        <v>1398</v>
      </c>
      <c r="D13" s="51">
        <f t="shared" si="5"/>
        <v>-741</v>
      </c>
      <c r="E13" s="5">
        <f t="shared" si="0"/>
        <v>-0.346423562412342</v>
      </c>
      <c r="F13" s="1" t="s">
        <v>37</v>
      </c>
      <c r="G13" s="22">
        <v>27889</v>
      </c>
      <c r="H13" s="22">
        <v>30620</v>
      </c>
      <c r="I13" s="51">
        <f t="shared" si="3"/>
        <v>2731</v>
      </c>
      <c r="J13" s="5">
        <f t="shared" si="1"/>
        <v>0.0979239126537344</v>
      </c>
      <c r="K13" s="21" t="s">
        <v>182</v>
      </c>
      <c r="L13" s="85">
        <v>15000</v>
      </c>
      <c r="M13" s="85">
        <v>48400</v>
      </c>
      <c r="N13" s="89">
        <f t="shared" si="4"/>
        <v>33400</v>
      </c>
      <c r="O13" s="18">
        <f t="shared" si="6"/>
        <v>2.22666666666667</v>
      </c>
    </row>
    <row r="14" ht="17.25" customHeight="1" spans="1:15">
      <c r="A14" s="1" t="s">
        <v>39</v>
      </c>
      <c r="B14" s="51">
        <v>4056</v>
      </c>
      <c r="C14" s="51">
        <v>2909</v>
      </c>
      <c r="D14" s="51">
        <f t="shared" si="5"/>
        <v>-1147</v>
      </c>
      <c r="E14" s="5">
        <f t="shared" si="0"/>
        <v>-0.282790927021696</v>
      </c>
      <c r="F14" s="1" t="s">
        <v>40</v>
      </c>
      <c r="G14" s="22">
        <v>9458</v>
      </c>
      <c r="H14" s="22">
        <v>10464</v>
      </c>
      <c r="I14" s="51">
        <f t="shared" si="3"/>
        <v>1006</v>
      </c>
      <c r="J14" s="5">
        <f t="shared" si="1"/>
        <v>0.106364982025798</v>
      </c>
      <c r="K14" s="46" t="s">
        <v>41</v>
      </c>
      <c r="L14" s="85">
        <f>SUM(L11,L10,L5,L12,L13)</f>
        <v>173057</v>
      </c>
      <c r="M14" s="85">
        <f>SUM(M11,M10,M5,M12,M13)</f>
        <v>203597</v>
      </c>
      <c r="N14" s="85">
        <f t="shared" si="4"/>
        <v>30540</v>
      </c>
      <c r="O14" s="18">
        <f t="shared" si="6"/>
        <v>0.176473647410969</v>
      </c>
    </row>
    <row r="15" ht="17.25" customHeight="1" spans="1:15">
      <c r="A15" s="1" t="s">
        <v>42</v>
      </c>
      <c r="B15" s="51">
        <v>1979</v>
      </c>
      <c r="C15" s="51">
        <v>2311</v>
      </c>
      <c r="D15" s="51">
        <f t="shared" si="5"/>
        <v>332</v>
      </c>
      <c r="E15" s="5">
        <f t="shared" si="0"/>
        <v>0.167761495704901</v>
      </c>
      <c r="F15" s="1" t="s">
        <v>43</v>
      </c>
      <c r="G15" s="22">
        <v>19060</v>
      </c>
      <c r="H15" s="22">
        <v>17319</v>
      </c>
      <c r="I15" s="51">
        <f t="shared" si="3"/>
        <v>-1741</v>
      </c>
      <c r="J15" s="5">
        <f t="shared" si="1"/>
        <v>-0.0913431269674711</v>
      </c>
      <c r="K15" s="9" t="s">
        <v>44</v>
      </c>
      <c r="L15" s="10"/>
      <c r="M15" s="10"/>
      <c r="N15" s="10"/>
      <c r="O15" s="11"/>
    </row>
    <row r="16" ht="17.25" customHeight="1" spans="1:15">
      <c r="A16" s="1" t="s">
        <v>45</v>
      </c>
      <c r="B16" s="51">
        <v>1238</v>
      </c>
      <c r="C16" s="51">
        <v>1126</v>
      </c>
      <c r="D16" s="51">
        <f t="shared" si="5"/>
        <v>-112</v>
      </c>
      <c r="E16" s="5">
        <f t="shared" si="0"/>
        <v>-0.0904684975767367</v>
      </c>
      <c r="F16" s="1" t="s">
        <v>46</v>
      </c>
      <c r="G16" s="22">
        <v>47093</v>
      </c>
      <c r="H16" s="22">
        <v>54270</v>
      </c>
      <c r="I16" s="51">
        <f t="shared" si="3"/>
        <v>7177</v>
      </c>
      <c r="J16" s="5">
        <f t="shared" si="1"/>
        <v>0.152400569086701</v>
      </c>
      <c r="K16" s="15" t="s">
        <v>6</v>
      </c>
      <c r="L16" s="15" t="s">
        <v>178</v>
      </c>
      <c r="M16" s="15" t="s">
        <v>180</v>
      </c>
      <c r="N16" s="15" t="s">
        <v>11</v>
      </c>
      <c r="O16" s="15" t="s">
        <v>10</v>
      </c>
    </row>
    <row r="17" ht="17.25" customHeight="1" spans="1:15">
      <c r="A17" s="1" t="s">
        <v>47</v>
      </c>
      <c r="B17" s="51">
        <v>2430</v>
      </c>
      <c r="C17" s="51">
        <v>3204</v>
      </c>
      <c r="D17" s="51">
        <f t="shared" si="5"/>
        <v>774</v>
      </c>
      <c r="E17" s="5">
        <f t="shared" si="0"/>
        <v>0.318518518518519</v>
      </c>
      <c r="F17" s="1" t="s">
        <v>48</v>
      </c>
      <c r="G17" s="22">
        <v>8665</v>
      </c>
      <c r="H17" s="22">
        <v>14136</v>
      </c>
      <c r="I17" s="51">
        <f t="shared" si="3"/>
        <v>5471</v>
      </c>
      <c r="J17" s="5">
        <f t="shared" si="1"/>
        <v>0.631390652048471</v>
      </c>
      <c r="K17" s="46" t="s">
        <v>49</v>
      </c>
      <c r="L17" s="52">
        <f>SUM(L18:L29)</f>
        <v>88777</v>
      </c>
      <c r="M17" s="52">
        <f>SUM(M18:M29)</f>
        <v>97575</v>
      </c>
      <c r="N17" s="88">
        <f>SUM(N18:N29)</f>
        <v>8798</v>
      </c>
      <c r="O17" s="18">
        <f t="shared" ref="O17:O30" si="7">N17/L17</f>
        <v>0.0991022449508319</v>
      </c>
    </row>
    <row r="18" ht="17.25" customHeight="1" spans="1:15">
      <c r="A18" s="1" t="s">
        <v>50</v>
      </c>
      <c r="B18" s="51">
        <v>7705</v>
      </c>
      <c r="C18" s="51">
        <v>8002</v>
      </c>
      <c r="D18" s="51">
        <f t="shared" si="5"/>
        <v>297</v>
      </c>
      <c r="E18" s="5">
        <f t="shared" si="0"/>
        <v>0.0385463984425698</v>
      </c>
      <c r="F18" s="1" t="s">
        <v>51</v>
      </c>
      <c r="G18" s="22">
        <v>14120</v>
      </c>
      <c r="H18" s="22">
        <v>13862</v>
      </c>
      <c r="I18" s="51">
        <f t="shared" si="3"/>
        <v>-258</v>
      </c>
      <c r="J18" s="5">
        <f t="shared" si="1"/>
        <v>-0.018271954674221</v>
      </c>
      <c r="K18" s="42" t="s">
        <v>52</v>
      </c>
      <c r="L18" s="51">
        <v>639</v>
      </c>
      <c r="M18" s="51">
        <v>593</v>
      </c>
      <c r="N18" s="51">
        <f t="shared" ref="N18:N32" si="8">M18-L18</f>
        <v>-46</v>
      </c>
      <c r="O18" s="5">
        <f t="shared" si="7"/>
        <v>-0.0719874804381847</v>
      </c>
    </row>
    <row r="19" ht="17.25" customHeight="1" spans="1:15">
      <c r="A19" s="1" t="s">
        <v>53</v>
      </c>
      <c r="B19" s="51">
        <v>1646</v>
      </c>
      <c r="C19" s="51">
        <v>1823</v>
      </c>
      <c r="D19" s="51">
        <f t="shared" si="5"/>
        <v>177</v>
      </c>
      <c r="E19" s="5">
        <f t="shared" si="0"/>
        <v>0.107533414337789</v>
      </c>
      <c r="F19" s="1" t="s">
        <v>54</v>
      </c>
      <c r="G19" s="22">
        <v>1194</v>
      </c>
      <c r="H19" s="22">
        <v>1106</v>
      </c>
      <c r="I19" s="51">
        <f t="shared" si="3"/>
        <v>-88</v>
      </c>
      <c r="J19" s="5">
        <f t="shared" si="1"/>
        <v>-0.0737018425460637</v>
      </c>
      <c r="K19" s="81" t="s">
        <v>55</v>
      </c>
      <c r="L19" s="51">
        <v>66802</v>
      </c>
      <c r="M19" s="51">
        <v>34233</v>
      </c>
      <c r="N19" s="51">
        <f t="shared" si="8"/>
        <v>-32569</v>
      </c>
      <c r="O19" s="5">
        <f t="shared" si="7"/>
        <v>-0.487545283075357</v>
      </c>
    </row>
    <row r="20" ht="17.25" customHeight="1" spans="1:15">
      <c r="A20" s="1" t="s">
        <v>56</v>
      </c>
      <c r="B20" s="51">
        <v>151</v>
      </c>
      <c r="C20" s="51">
        <v>171</v>
      </c>
      <c r="D20" s="51">
        <f t="shared" si="5"/>
        <v>20</v>
      </c>
      <c r="E20" s="5">
        <f t="shared" si="0"/>
        <v>0.132450331125828</v>
      </c>
      <c r="F20" s="1" t="s">
        <v>57</v>
      </c>
      <c r="G20" s="22">
        <v>100</v>
      </c>
      <c r="H20" s="22">
        <v>19</v>
      </c>
      <c r="I20" s="51">
        <f t="shared" si="3"/>
        <v>-81</v>
      </c>
      <c r="J20" s="5">
        <f t="shared" si="1"/>
        <v>-0.81</v>
      </c>
      <c r="K20" s="42" t="s">
        <v>58</v>
      </c>
      <c r="L20" s="51">
        <v>396</v>
      </c>
      <c r="M20" s="51">
        <v>39</v>
      </c>
      <c r="N20" s="51">
        <f t="shared" si="8"/>
        <v>-357</v>
      </c>
      <c r="O20" s="5">
        <f t="shared" si="7"/>
        <v>-0.901515151515151</v>
      </c>
    </row>
    <row r="21" ht="17.25" customHeight="1" spans="1:15">
      <c r="A21" s="1" t="s">
        <v>59</v>
      </c>
      <c r="B21" s="51">
        <v>1438</v>
      </c>
      <c r="C21" s="51">
        <v>254</v>
      </c>
      <c r="D21" s="51">
        <f t="shared" si="5"/>
        <v>-1184</v>
      </c>
      <c r="E21" s="5">
        <f t="shared" si="0"/>
        <v>-0.82336578581363</v>
      </c>
      <c r="F21" s="1" t="s">
        <v>60</v>
      </c>
      <c r="G21" s="22">
        <v>1502</v>
      </c>
      <c r="H21" s="22">
        <v>2961</v>
      </c>
      <c r="I21" s="51">
        <f t="shared" si="3"/>
        <v>1459</v>
      </c>
      <c r="J21" s="5">
        <f t="shared" si="1"/>
        <v>0.971371504660453</v>
      </c>
      <c r="K21" s="42" t="s">
        <v>61</v>
      </c>
      <c r="L21" s="51">
        <v>1480</v>
      </c>
      <c r="M21" s="51">
        <v>2093</v>
      </c>
      <c r="N21" s="51">
        <f t="shared" si="8"/>
        <v>613</v>
      </c>
      <c r="O21" s="5">
        <f t="shared" si="7"/>
        <v>0.414189189189189</v>
      </c>
    </row>
    <row r="22" ht="17.25" customHeight="1" spans="1:15">
      <c r="A22" s="1" t="s">
        <v>62</v>
      </c>
      <c r="B22" s="51">
        <v>6448</v>
      </c>
      <c r="C22" s="51">
        <v>5122</v>
      </c>
      <c r="D22" s="51">
        <f t="shared" si="5"/>
        <v>-1326</v>
      </c>
      <c r="E22" s="5">
        <f t="shared" si="0"/>
        <v>-0.205645161290323</v>
      </c>
      <c r="F22" s="1" t="s">
        <v>63</v>
      </c>
      <c r="G22" s="22">
        <v>2982</v>
      </c>
      <c r="H22" s="22">
        <v>5337</v>
      </c>
      <c r="I22" s="51">
        <f t="shared" si="3"/>
        <v>2355</v>
      </c>
      <c r="J22" s="5">
        <f t="shared" si="1"/>
        <v>0.789738430583501</v>
      </c>
      <c r="K22" s="42" t="s">
        <v>64</v>
      </c>
      <c r="L22" s="51">
        <v>698</v>
      </c>
      <c r="M22" s="51">
        <v>700</v>
      </c>
      <c r="N22" s="51">
        <f t="shared" si="8"/>
        <v>2</v>
      </c>
      <c r="O22" s="5">
        <f t="shared" si="7"/>
        <v>0.00286532951289398</v>
      </c>
    </row>
    <row r="23" ht="17.25" customHeight="1" spans="1:15">
      <c r="A23" s="1" t="s">
        <v>65</v>
      </c>
      <c r="B23" s="51">
        <v>4</v>
      </c>
      <c r="C23" s="51"/>
      <c r="D23" s="51">
        <v>-4</v>
      </c>
      <c r="E23" s="5">
        <f t="shared" si="0"/>
        <v>-1</v>
      </c>
      <c r="F23" s="1" t="s">
        <v>66</v>
      </c>
      <c r="G23" s="22">
        <v>1207</v>
      </c>
      <c r="H23" s="22">
        <v>533</v>
      </c>
      <c r="I23" s="51">
        <f t="shared" si="3"/>
        <v>-674</v>
      </c>
      <c r="J23" s="5">
        <f t="shared" si="1"/>
        <v>-0.55840927920464</v>
      </c>
      <c r="K23" s="42" t="s">
        <v>183</v>
      </c>
      <c r="L23" s="51">
        <v>367</v>
      </c>
      <c r="M23" s="51"/>
      <c r="N23" s="51">
        <f t="shared" si="8"/>
        <v>-367</v>
      </c>
      <c r="O23" s="5">
        <f t="shared" si="7"/>
        <v>-1</v>
      </c>
    </row>
    <row r="24" ht="17.25" customHeight="1" spans="1:15">
      <c r="A24" s="21" t="s">
        <v>68</v>
      </c>
      <c r="B24" s="52">
        <f>SUM(B25,B27:B32)</f>
        <v>34909</v>
      </c>
      <c r="C24" s="52">
        <f>SUM(C25,C27:C32)</f>
        <v>41062</v>
      </c>
      <c r="D24" s="52">
        <f>SUM(D25,D27:D32)</f>
        <v>6153</v>
      </c>
      <c r="E24" s="18">
        <f t="shared" si="0"/>
        <v>0.176258271505915</v>
      </c>
      <c r="F24" s="1" t="s">
        <v>69</v>
      </c>
      <c r="G24" s="22">
        <v>3563</v>
      </c>
      <c r="H24" s="22">
        <v>3626</v>
      </c>
      <c r="I24" s="51">
        <f t="shared" si="3"/>
        <v>63</v>
      </c>
      <c r="J24" s="5">
        <f t="shared" si="1"/>
        <v>0.0176817288801572</v>
      </c>
      <c r="K24" s="81" t="s">
        <v>70</v>
      </c>
      <c r="L24" s="51">
        <v>700</v>
      </c>
      <c r="M24" s="51">
        <v>300</v>
      </c>
      <c r="N24" s="51">
        <f t="shared" si="8"/>
        <v>-400</v>
      </c>
      <c r="O24" s="5">
        <f t="shared" si="7"/>
        <v>-0.571428571428571</v>
      </c>
    </row>
    <row r="25" ht="17.25" customHeight="1" spans="1:15">
      <c r="A25" s="21" t="s">
        <v>71</v>
      </c>
      <c r="B25" s="51">
        <v>8383</v>
      </c>
      <c r="C25" s="51">
        <v>8032</v>
      </c>
      <c r="D25" s="51">
        <f t="shared" ref="D25:D40" si="9">C25-B25</f>
        <v>-351</v>
      </c>
      <c r="E25" s="5">
        <f t="shared" si="0"/>
        <v>-0.0418704521054515</v>
      </c>
      <c r="F25" s="1" t="s">
        <v>72</v>
      </c>
      <c r="G25" s="22">
        <v>15153</v>
      </c>
      <c r="H25" s="22">
        <v>15716</v>
      </c>
      <c r="I25" s="51">
        <f t="shared" si="3"/>
        <v>563</v>
      </c>
      <c r="J25" s="5">
        <f t="shared" si="1"/>
        <v>0.0371543588728305</v>
      </c>
      <c r="K25" s="42" t="s">
        <v>73</v>
      </c>
      <c r="L25" s="51">
        <v>1931</v>
      </c>
      <c r="M25" s="51">
        <v>2015</v>
      </c>
      <c r="N25" s="51">
        <f t="shared" si="8"/>
        <v>84</v>
      </c>
      <c r="O25" s="5">
        <f t="shared" si="7"/>
        <v>0.0435007767995857</v>
      </c>
    </row>
    <row r="26" ht="17.25" customHeight="1" spans="1:15">
      <c r="A26" s="1" t="s">
        <v>74</v>
      </c>
      <c r="B26" s="51">
        <v>2696</v>
      </c>
      <c r="C26" s="51">
        <v>1882</v>
      </c>
      <c r="D26" s="51">
        <f t="shared" si="9"/>
        <v>-814</v>
      </c>
      <c r="E26" s="5">
        <f t="shared" si="0"/>
        <v>-0.301928783382789</v>
      </c>
      <c r="F26" s="1" t="s">
        <v>75</v>
      </c>
      <c r="G26" s="22">
        <v>266</v>
      </c>
      <c r="H26" s="22">
        <v>102</v>
      </c>
      <c r="I26" s="51">
        <f t="shared" si="3"/>
        <v>-164</v>
      </c>
      <c r="J26" s="5">
        <f t="shared" si="1"/>
        <v>-0.616541353383459</v>
      </c>
      <c r="K26" s="42" t="s">
        <v>184</v>
      </c>
      <c r="L26" s="51">
        <v>15000</v>
      </c>
      <c r="M26" s="51"/>
      <c r="N26" s="51">
        <f t="shared" si="8"/>
        <v>-15000</v>
      </c>
      <c r="O26" s="5"/>
    </row>
    <row r="27" ht="17.25" customHeight="1" spans="1:15">
      <c r="A27" s="1" t="s">
        <v>77</v>
      </c>
      <c r="B27" s="51">
        <v>1134</v>
      </c>
      <c r="C27" s="51">
        <v>3238</v>
      </c>
      <c r="D27" s="51">
        <f t="shared" si="9"/>
        <v>2104</v>
      </c>
      <c r="E27" s="5">
        <f t="shared" si="0"/>
        <v>1.85537918871252</v>
      </c>
      <c r="F27" s="26" t="s">
        <v>78</v>
      </c>
      <c r="G27" s="69">
        <f>SUM(G28:G29)</f>
        <v>7953</v>
      </c>
      <c r="H27" s="69">
        <f>SUM(H28:H29)</f>
        <v>7234</v>
      </c>
      <c r="I27" s="52">
        <f t="shared" si="3"/>
        <v>-719</v>
      </c>
      <c r="J27" s="18">
        <f t="shared" si="1"/>
        <v>-0.0904061360492896</v>
      </c>
      <c r="K27" s="42" t="s">
        <v>185</v>
      </c>
      <c r="L27" s="51"/>
      <c r="M27" s="51">
        <v>48400</v>
      </c>
      <c r="N27" s="51">
        <f t="shared" si="8"/>
        <v>48400</v>
      </c>
      <c r="O27" s="5"/>
    </row>
    <row r="28" ht="17.25" customHeight="1" spans="1:15">
      <c r="A28" s="1" t="s">
        <v>80</v>
      </c>
      <c r="B28" s="51">
        <v>3656</v>
      </c>
      <c r="C28" s="51">
        <v>2520</v>
      </c>
      <c r="D28" s="51">
        <f t="shared" si="9"/>
        <v>-1136</v>
      </c>
      <c r="E28" s="5">
        <f t="shared" si="0"/>
        <v>-0.310722100656455</v>
      </c>
      <c r="F28" s="1" t="s">
        <v>81</v>
      </c>
      <c r="G28" s="22">
        <v>2578</v>
      </c>
      <c r="H28" s="22">
        <v>3403</v>
      </c>
      <c r="I28" s="51">
        <f t="shared" si="3"/>
        <v>825</v>
      </c>
      <c r="J28" s="5">
        <f t="shared" si="1"/>
        <v>0.320015515903801</v>
      </c>
      <c r="K28" s="42" t="s">
        <v>186</v>
      </c>
      <c r="L28" s="51"/>
      <c r="M28" s="51">
        <v>7440</v>
      </c>
      <c r="N28" s="51">
        <f t="shared" si="8"/>
        <v>7440</v>
      </c>
      <c r="O28" s="5"/>
    </row>
    <row r="29" ht="17.25" customHeight="1" spans="1:15">
      <c r="A29" s="1" t="s">
        <v>83</v>
      </c>
      <c r="B29" s="51">
        <v>5400</v>
      </c>
      <c r="C29" s="51"/>
      <c r="D29" s="51">
        <f t="shared" si="9"/>
        <v>-5400</v>
      </c>
      <c r="E29" s="5">
        <f t="shared" si="0"/>
        <v>-1</v>
      </c>
      <c r="F29" s="1" t="s">
        <v>84</v>
      </c>
      <c r="G29" s="22">
        <v>5375</v>
      </c>
      <c r="H29" s="22">
        <v>3831</v>
      </c>
      <c r="I29" s="51">
        <f t="shared" si="3"/>
        <v>-1544</v>
      </c>
      <c r="J29" s="5">
        <f t="shared" si="1"/>
        <v>-0.287255813953488</v>
      </c>
      <c r="K29" s="42" t="s">
        <v>187</v>
      </c>
      <c r="L29" s="51">
        <v>764</v>
      </c>
      <c r="M29" s="51">
        <v>1762</v>
      </c>
      <c r="N29" s="51">
        <f t="shared" si="8"/>
        <v>998</v>
      </c>
      <c r="O29" s="5">
        <f t="shared" si="7"/>
        <v>1.30628272251309</v>
      </c>
    </row>
    <row r="30" ht="17.25" customHeight="1" spans="1:15">
      <c r="A30" s="1" t="s">
        <v>86</v>
      </c>
      <c r="B30" s="51">
        <v>1459</v>
      </c>
      <c r="C30" s="51">
        <v>4391</v>
      </c>
      <c r="D30" s="51">
        <f t="shared" si="9"/>
        <v>2932</v>
      </c>
      <c r="E30" s="5">
        <f t="shared" si="0"/>
        <v>2.00959561343386</v>
      </c>
      <c r="F30" s="26" t="s">
        <v>87</v>
      </c>
      <c r="G30" s="19">
        <v>7028</v>
      </c>
      <c r="H30" s="19">
        <v>85326</v>
      </c>
      <c r="I30" s="88">
        <f t="shared" si="3"/>
        <v>78298</v>
      </c>
      <c r="J30" s="97">
        <f t="shared" si="1"/>
        <v>11.1408651109846</v>
      </c>
      <c r="K30" s="16" t="s">
        <v>82</v>
      </c>
      <c r="L30" s="51">
        <v>69628</v>
      </c>
      <c r="M30" s="51">
        <v>91597</v>
      </c>
      <c r="N30" s="51">
        <f t="shared" si="8"/>
        <v>21969</v>
      </c>
      <c r="O30" s="5">
        <f t="shared" si="7"/>
        <v>0.315519618544264</v>
      </c>
    </row>
    <row r="31" ht="17.25" customHeight="1" spans="1:15">
      <c r="A31" s="1" t="s">
        <v>89</v>
      </c>
      <c r="B31" s="51">
        <v>50</v>
      </c>
      <c r="C31" s="51">
        <v>58</v>
      </c>
      <c r="D31" s="51">
        <f t="shared" si="9"/>
        <v>8</v>
      </c>
      <c r="E31" s="5">
        <f t="shared" si="0"/>
        <v>0.16</v>
      </c>
      <c r="F31" s="26" t="s">
        <v>90</v>
      </c>
      <c r="G31" s="19">
        <v>2614</v>
      </c>
      <c r="H31" s="19">
        <v>15507</v>
      </c>
      <c r="I31" s="52">
        <f t="shared" si="3"/>
        <v>12893</v>
      </c>
      <c r="J31" s="97">
        <f t="shared" si="1"/>
        <v>4.93228768171385</v>
      </c>
      <c r="K31" s="16" t="s">
        <v>85</v>
      </c>
      <c r="L31" s="51"/>
      <c r="M31" s="51">
        <v>49</v>
      </c>
      <c r="N31" s="51">
        <f t="shared" si="8"/>
        <v>49</v>
      </c>
      <c r="O31" s="5"/>
    </row>
    <row r="32" ht="17.25" customHeight="1" spans="1:15">
      <c r="A32" s="1" t="s">
        <v>92</v>
      </c>
      <c r="B32" s="51">
        <v>14827</v>
      </c>
      <c r="C32" s="51">
        <v>22823</v>
      </c>
      <c r="D32" s="51">
        <f t="shared" si="9"/>
        <v>7996</v>
      </c>
      <c r="E32" s="5">
        <f t="shared" si="0"/>
        <v>0.539286436905645</v>
      </c>
      <c r="F32" s="26" t="s">
        <v>93</v>
      </c>
      <c r="G32" s="19">
        <v>1065</v>
      </c>
      <c r="H32" s="19">
        <v>1204</v>
      </c>
      <c r="I32" s="52"/>
      <c r="J32" s="97"/>
      <c r="K32" s="21" t="s">
        <v>188</v>
      </c>
      <c r="L32" s="41"/>
      <c r="M32" s="41">
        <v>7941</v>
      </c>
      <c r="N32" s="105">
        <f t="shared" si="8"/>
        <v>7941</v>
      </c>
      <c r="O32" s="18"/>
    </row>
    <row r="33" ht="17.25" customHeight="1" spans="1:15">
      <c r="A33" s="28" t="s">
        <v>94</v>
      </c>
      <c r="B33" s="52">
        <f>SUM(B34:B36)</f>
        <v>140209</v>
      </c>
      <c r="C33" s="52">
        <f>SUM(C34:C36)</f>
        <v>177650</v>
      </c>
      <c r="D33" s="88">
        <f t="shared" si="9"/>
        <v>37441</v>
      </c>
      <c r="E33" s="18">
        <f t="shared" si="0"/>
        <v>0.267037066094188</v>
      </c>
      <c r="F33" s="26" t="s">
        <v>95</v>
      </c>
      <c r="G33" s="19"/>
      <c r="H33" s="19">
        <v>519</v>
      </c>
      <c r="I33" s="52"/>
      <c r="J33" s="97"/>
      <c r="K33" s="21" t="s">
        <v>189</v>
      </c>
      <c r="L33" s="41">
        <v>14652</v>
      </c>
      <c r="M33" s="41">
        <v>6435</v>
      </c>
      <c r="N33" s="105">
        <f t="shared" ref="N33" si="10">M33-L33</f>
        <v>-8217</v>
      </c>
      <c r="O33" s="18">
        <f t="shared" ref="O33:O34" si="11">N33/L33</f>
        <v>-0.560810810810811</v>
      </c>
    </row>
    <row r="34" ht="17.25" customHeight="1" spans="1:15">
      <c r="A34" s="29" t="s">
        <v>96</v>
      </c>
      <c r="B34" s="51">
        <v>10690</v>
      </c>
      <c r="C34" s="51">
        <v>10690</v>
      </c>
      <c r="D34" s="51">
        <f t="shared" si="9"/>
        <v>0</v>
      </c>
      <c r="E34" s="5">
        <f t="shared" si="0"/>
        <v>0</v>
      </c>
      <c r="F34" s="21" t="s">
        <v>97</v>
      </c>
      <c r="G34" s="19">
        <v>4510</v>
      </c>
      <c r="H34" s="19">
        <v>6443</v>
      </c>
      <c r="I34" s="88">
        <f t="shared" si="3"/>
        <v>1933</v>
      </c>
      <c r="J34" s="18">
        <f t="shared" si="1"/>
        <v>0.42860310421286</v>
      </c>
      <c r="K34" s="21" t="s">
        <v>91</v>
      </c>
      <c r="L34" s="52">
        <f>SUM(L17,L30:L33)</f>
        <v>173057</v>
      </c>
      <c r="M34" s="52">
        <f>SUM(M17,M30:M33)</f>
        <v>203597</v>
      </c>
      <c r="N34" s="52">
        <f>SUM(N17,N30:N32)</f>
        <v>38757</v>
      </c>
      <c r="O34" s="18">
        <f t="shared" si="11"/>
        <v>0.223955113055236</v>
      </c>
    </row>
    <row r="35" ht="17.25" customHeight="1" spans="1:15">
      <c r="A35" s="29" t="s">
        <v>99</v>
      </c>
      <c r="B35" s="51">
        <v>104397</v>
      </c>
      <c r="C35" s="51">
        <v>134530</v>
      </c>
      <c r="D35" s="51">
        <f t="shared" si="9"/>
        <v>30133</v>
      </c>
      <c r="E35" s="5">
        <f t="shared" si="0"/>
        <v>0.288638562410797</v>
      </c>
      <c r="F35" s="1" t="s">
        <v>100</v>
      </c>
      <c r="G35" s="22">
        <v>4510</v>
      </c>
      <c r="H35" s="22">
        <v>6443</v>
      </c>
      <c r="I35" s="51">
        <f t="shared" si="3"/>
        <v>1933</v>
      </c>
      <c r="J35" s="5">
        <f t="shared" si="1"/>
        <v>0.42860310421286</v>
      </c>
      <c r="K35" s="93" t="s">
        <v>98</v>
      </c>
      <c r="L35" s="94"/>
      <c r="M35" s="94"/>
      <c r="N35" s="94"/>
      <c r="O35" s="95"/>
    </row>
    <row r="36" ht="17.25" customHeight="1" spans="1:15">
      <c r="A36" s="29" t="s">
        <v>102</v>
      </c>
      <c r="B36" s="51">
        <v>25122</v>
      </c>
      <c r="C36" s="51">
        <v>32430</v>
      </c>
      <c r="D36" s="51">
        <f t="shared" si="9"/>
        <v>7308</v>
      </c>
      <c r="E36" s="5">
        <f t="shared" si="0"/>
        <v>0.290900406018629</v>
      </c>
      <c r="F36" s="21" t="s">
        <v>103</v>
      </c>
      <c r="G36" s="52">
        <f>SUM(G5,G27,G30:G34)</f>
        <v>356184</v>
      </c>
      <c r="H36" s="52">
        <f>SUM(H5,H27,H30:H34)</f>
        <v>487628</v>
      </c>
      <c r="I36" s="88">
        <f t="shared" si="3"/>
        <v>131444</v>
      </c>
      <c r="J36" s="18">
        <f t="shared" si="1"/>
        <v>0.369033982436044</v>
      </c>
      <c r="K36" s="15" t="s">
        <v>6</v>
      </c>
      <c r="L36" s="15" t="s">
        <v>190</v>
      </c>
      <c r="M36" s="15" t="s">
        <v>180</v>
      </c>
      <c r="N36" s="15" t="s">
        <v>101</v>
      </c>
      <c r="O36" s="15" t="s">
        <v>10</v>
      </c>
    </row>
    <row r="37" ht="17.25" customHeight="1" spans="1:15">
      <c r="A37" s="33" t="s">
        <v>105</v>
      </c>
      <c r="B37" s="52">
        <v>1890</v>
      </c>
      <c r="C37" s="52">
        <v>4510</v>
      </c>
      <c r="D37" s="88">
        <f t="shared" si="9"/>
        <v>2620</v>
      </c>
      <c r="E37" s="18">
        <f t="shared" si="0"/>
        <v>1.38624338624339</v>
      </c>
      <c r="F37" s="30" t="s">
        <v>106</v>
      </c>
      <c r="G37" s="31"/>
      <c r="H37" s="31"/>
      <c r="I37" s="31"/>
      <c r="J37" s="48"/>
      <c r="K37" s="21" t="s">
        <v>104</v>
      </c>
      <c r="L37" s="45">
        <v>163</v>
      </c>
      <c r="M37" s="45">
        <v>235</v>
      </c>
      <c r="N37" s="52">
        <f>M37-L37</f>
        <v>72</v>
      </c>
      <c r="O37" s="18">
        <f>N37/L37</f>
        <v>0.441717791411043</v>
      </c>
    </row>
    <row r="38" ht="17.25" customHeight="1" spans="1:15">
      <c r="A38" s="33" t="s">
        <v>108</v>
      </c>
      <c r="B38" s="52">
        <v>20274</v>
      </c>
      <c r="C38" s="52">
        <v>75918</v>
      </c>
      <c r="D38" s="88">
        <f t="shared" si="9"/>
        <v>55644</v>
      </c>
      <c r="E38" s="18">
        <f t="shared" si="0"/>
        <v>2.74459899378514</v>
      </c>
      <c r="F38" s="15" t="s">
        <v>6</v>
      </c>
      <c r="G38" s="15" t="s">
        <v>190</v>
      </c>
      <c r="H38" s="15" t="s">
        <v>180</v>
      </c>
      <c r="I38" s="15" t="s">
        <v>9</v>
      </c>
      <c r="J38" s="15" t="s">
        <v>10</v>
      </c>
      <c r="K38" s="21" t="s">
        <v>107</v>
      </c>
      <c r="L38" s="45"/>
      <c r="M38" s="45">
        <v>5</v>
      </c>
      <c r="N38" s="52">
        <f>M38-L38</f>
        <v>5</v>
      </c>
      <c r="O38" s="18"/>
    </row>
    <row r="39" ht="17.25" customHeight="1" spans="1:15">
      <c r="A39" s="87" t="s">
        <v>110</v>
      </c>
      <c r="B39" s="52"/>
      <c r="C39" s="52">
        <v>13008</v>
      </c>
      <c r="D39" s="52"/>
      <c r="E39" s="18"/>
      <c r="F39" s="21" t="s">
        <v>12</v>
      </c>
      <c r="G39" s="52">
        <f>B5</f>
        <v>122700</v>
      </c>
      <c r="H39" s="52">
        <f>C5</f>
        <v>118184</v>
      </c>
      <c r="I39" s="52">
        <f>H39-G39</f>
        <v>-4516</v>
      </c>
      <c r="J39" s="18">
        <f t="shared" ref="J39:J46" si="12">I39/G39</f>
        <v>-0.0368052159739201</v>
      </c>
      <c r="K39" s="21" t="s">
        <v>109</v>
      </c>
      <c r="L39" s="45">
        <v>63</v>
      </c>
      <c r="M39" s="45">
        <v>179</v>
      </c>
      <c r="N39" s="52">
        <f>M39-L39</f>
        <v>116</v>
      </c>
      <c r="O39" s="18">
        <f>N39/L39</f>
        <v>1.84126984126984</v>
      </c>
    </row>
    <row r="40" ht="17.25" customHeight="1" spans="1:15">
      <c r="A40" s="33" t="s">
        <v>112</v>
      </c>
      <c r="B40" s="52">
        <v>71111</v>
      </c>
      <c r="C40" s="52">
        <v>98358</v>
      </c>
      <c r="D40" s="52">
        <f t="shared" si="9"/>
        <v>27247</v>
      </c>
      <c r="E40" s="18">
        <f t="shared" si="0"/>
        <v>0.3831615361899</v>
      </c>
      <c r="F40" s="34" t="s">
        <v>113</v>
      </c>
      <c r="G40" s="52">
        <f>SUM(G41:G45)</f>
        <v>71269</v>
      </c>
      <c r="H40" s="52">
        <f>SUM(H41:H45)</f>
        <v>67002</v>
      </c>
      <c r="I40" s="52">
        <f>SUM(I41:I45)</f>
        <v>-4267</v>
      </c>
      <c r="J40" s="18">
        <f t="shared" si="12"/>
        <v>-0.059871753497313</v>
      </c>
      <c r="K40" s="21" t="s">
        <v>114</v>
      </c>
      <c r="L40" s="45">
        <v>100</v>
      </c>
      <c r="M40" s="45">
        <v>61</v>
      </c>
      <c r="N40" s="52">
        <f>M40-L40</f>
        <v>-39</v>
      </c>
      <c r="O40" s="18">
        <f>N40/L40</f>
        <v>-0.39</v>
      </c>
    </row>
    <row r="41" ht="17.25" customHeight="1" spans="1:15">
      <c r="A41" s="33"/>
      <c r="B41" s="52"/>
      <c r="C41" s="52"/>
      <c r="D41" s="52"/>
      <c r="E41" s="18"/>
      <c r="F41" s="35" t="s">
        <v>115</v>
      </c>
      <c r="G41" s="51">
        <f>B7+B10</f>
        <v>45199</v>
      </c>
      <c r="H41" s="51">
        <f>C7+C10</f>
        <v>31173</v>
      </c>
      <c r="I41" s="51">
        <f>H41-G41</f>
        <v>-14026</v>
      </c>
      <c r="J41" s="5">
        <f t="shared" si="12"/>
        <v>-0.310316599924777</v>
      </c>
      <c r="K41" s="93" t="s">
        <v>116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117</v>
      </c>
      <c r="G42" s="51">
        <f>B11*1.5</f>
        <v>16809</v>
      </c>
      <c r="H42" s="51">
        <f>C11*1.5</f>
        <v>13740</v>
      </c>
      <c r="I42" s="51">
        <f>H42-G42</f>
        <v>-3069</v>
      </c>
      <c r="J42" s="5">
        <f t="shared" si="12"/>
        <v>-0.182580760306978</v>
      </c>
      <c r="K42" s="15" t="s">
        <v>6</v>
      </c>
      <c r="L42" s="15" t="s">
        <v>190</v>
      </c>
      <c r="M42" s="15" t="s">
        <v>180</v>
      </c>
      <c r="N42" s="15" t="s">
        <v>101</v>
      </c>
      <c r="O42" s="15" t="s">
        <v>10</v>
      </c>
    </row>
    <row r="43" ht="18" customHeight="1" spans="1:15">
      <c r="A43" s="33"/>
      <c r="B43" s="52"/>
      <c r="C43" s="52"/>
      <c r="D43" s="52"/>
      <c r="E43" s="18"/>
      <c r="F43" s="35" t="s">
        <v>118</v>
      </c>
      <c r="G43" s="51">
        <f>B12*1.5</f>
        <v>3228</v>
      </c>
      <c r="H43" s="51">
        <f>C12*1.5-0.5</f>
        <v>15703</v>
      </c>
      <c r="I43" s="51">
        <f>H43-G43</f>
        <v>12475</v>
      </c>
      <c r="J43" s="5">
        <f t="shared" si="12"/>
        <v>3.86462205700124</v>
      </c>
      <c r="K43" s="21" t="s">
        <v>119</v>
      </c>
      <c r="L43" s="45">
        <v>47435</v>
      </c>
      <c r="M43" s="45">
        <v>58869</v>
      </c>
      <c r="N43" s="88">
        <f>M43-L43</f>
        <v>11434</v>
      </c>
      <c r="O43" s="18">
        <f>N43/L43</f>
        <v>0.241045641404027</v>
      </c>
    </row>
    <row r="44" ht="18" customHeight="1" spans="1:15">
      <c r="A44" s="33"/>
      <c r="B44" s="52"/>
      <c r="C44" s="52"/>
      <c r="D44" s="52"/>
      <c r="E44" s="18"/>
      <c r="F44" s="35" t="s">
        <v>120</v>
      </c>
      <c r="G44" s="51">
        <v>62</v>
      </c>
      <c r="H44" s="51">
        <v>94</v>
      </c>
      <c r="I44" s="51">
        <f>H44-G44</f>
        <v>32</v>
      </c>
      <c r="J44" s="5">
        <f t="shared" si="12"/>
        <v>0.516129032258065</v>
      </c>
      <c r="K44" s="21" t="s">
        <v>121</v>
      </c>
      <c r="L44" s="45">
        <v>40192</v>
      </c>
      <c r="M44" s="45">
        <v>43603</v>
      </c>
      <c r="N44" s="88">
        <f>M44-L44</f>
        <v>3411</v>
      </c>
      <c r="O44" s="18">
        <f>N44/L44</f>
        <v>0.0848676353503185</v>
      </c>
    </row>
    <row r="45" ht="21" customHeight="1" spans="1:15">
      <c r="A45" s="1"/>
      <c r="B45" s="51"/>
      <c r="C45" s="51"/>
      <c r="D45" s="51"/>
      <c r="E45" s="18"/>
      <c r="F45" s="102" t="s">
        <v>122</v>
      </c>
      <c r="G45" s="51">
        <v>5971</v>
      </c>
      <c r="H45" s="51">
        <v>6292</v>
      </c>
      <c r="I45" s="51">
        <f>H45-G45</f>
        <v>321</v>
      </c>
      <c r="J45" s="5">
        <f t="shared" si="12"/>
        <v>0.0537598392229107</v>
      </c>
      <c r="K45" s="21" t="s">
        <v>123</v>
      </c>
      <c r="L45" s="45">
        <f>L43-L44</f>
        <v>7243</v>
      </c>
      <c r="M45" s="45">
        <f>M43-M44</f>
        <v>15266</v>
      </c>
      <c r="N45" s="52">
        <f>M45-L45</f>
        <v>8023</v>
      </c>
      <c r="O45" s="18">
        <f>N45/L45</f>
        <v>1.10769018362557</v>
      </c>
    </row>
    <row r="46" ht="15.95" customHeight="1" spans="1:15">
      <c r="A46" s="28" t="s">
        <v>124</v>
      </c>
      <c r="B46" s="52">
        <f>SUM(B5,B33,B37:B40)</f>
        <v>356184</v>
      </c>
      <c r="C46" s="52">
        <f>SUM(C5,C33,C37:C40)</f>
        <v>487628</v>
      </c>
      <c r="D46" s="88">
        <f t="shared" ref="D46" si="13">C46-B46</f>
        <v>131444</v>
      </c>
      <c r="E46" s="18">
        <f>D46/B46</f>
        <v>0.369033982436044</v>
      </c>
      <c r="F46" s="36" t="s">
        <v>125</v>
      </c>
      <c r="G46" s="52">
        <f>SUM(G39:G40)</f>
        <v>193969</v>
      </c>
      <c r="H46" s="52">
        <f>SUM(H39:H40)</f>
        <v>185186</v>
      </c>
      <c r="I46" s="85">
        <f>SUM(I39:I40)</f>
        <v>-8783</v>
      </c>
      <c r="J46" s="18">
        <f t="shared" si="12"/>
        <v>-0.0452804314091427</v>
      </c>
      <c r="K46" s="21" t="s">
        <v>126</v>
      </c>
      <c r="L46" s="45">
        <v>47887</v>
      </c>
      <c r="M46" s="45">
        <v>63153</v>
      </c>
      <c r="N46" s="88">
        <f>M46-L46</f>
        <v>15266</v>
      </c>
      <c r="O46" s="18">
        <f>N46/L46</f>
        <v>0.318792156535177</v>
      </c>
    </row>
    <row r="47" ht="15.95" customHeight="1" spans="1:1">
      <c r="A47" s="106"/>
    </row>
    <row r="48" spans="1:7">
      <c r="A48" s="37"/>
      <c r="G48" s="38"/>
    </row>
  </sheetData>
  <mergeCells count="8">
    <mergeCell ref="A1:O1"/>
    <mergeCell ref="A3:E3"/>
    <mergeCell ref="F3:J3"/>
    <mergeCell ref="K3:O3"/>
    <mergeCell ref="K15:O15"/>
    <mergeCell ref="K35:O35"/>
    <mergeCell ref="F37:J37"/>
    <mergeCell ref="K41:O41"/>
  </mergeCells>
  <pageMargins left="0.393055555555556" right="0" top="0.393055555555556" bottom="0.393055555555556" header="0.511805555555556" footer="0.511805555555556"/>
  <pageSetup paperSize="9" scale="64" orientation="landscape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13" workbookViewId="0">
      <selection activeCell="N17" sqref="N17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191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12</v>
      </c>
      <c r="B5" s="52">
        <f>SUM(B6,B24)</f>
        <v>126400</v>
      </c>
      <c r="C5" s="52">
        <f>SUM(C6,C24)</f>
        <v>111500</v>
      </c>
      <c r="D5" s="52">
        <f>SUM(D6,D24)</f>
        <v>118184</v>
      </c>
      <c r="E5" s="18">
        <f t="shared" ref="E5:E32" si="0">D5/C5</f>
        <v>1.05994618834081</v>
      </c>
      <c r="F5" s="21" t="s">
        <v>13</v>
      </c>
      <c r="G5" s="19">
        <f>SUM(G6:G26)</f>
        <v>284933</v>
      </c>
      <c r="H5" s="19">
        <f>SUM(H6:H26)</f>
        <v>377838</v>
      </c>
      <c r="I5" s="19">
        <f>SUM(I6:I26)</f>
        <v>371395</v>
      </c>
      <c r="J5" s="18">
        <f t="shared" ref="J5:J26" si="1">I5/H5</f>
        <v>0.982947718334313</v>
      </c>
      <c r="K5" s="16" t="s">
        <v>133</v>
      </c>
      <c r="L5" s="19">
        <f>SUM(L6:L10)</f>
        <v>141500</v>
      </c>
      <c r="M5" s="19">
        <f>SUM(M6:M10)</f>
        <v>124300</v>
      </c>
      <c r="N5" s="19">
        <f>SUM(N6:N10)</f>
        <v>129681</v>
      </c>
      <c r="O5" s="18">
        <f t="shared" ref="O5:O10" si="2">N5/M5</f>
        <v>1.04329042638777</v>
      </c>
    </row>
    <row r="6" ht="16.5" customHeight="1" spans="1:15">
      <c r="A6" s="21" t="s">
        <v>15</v>
      </c>
      <c r="B6" s="52">
        <f>SUM(B7,B10:B22)</f>
        <v>91900</v>
      </c>
      <c r="C6" s="52">
        <f>SUM(C7,C10:C22)</f>
        <v>72400</v>
      </c>
      <c r="D6" s="52">
        <f>SUM(D7,D10:D23)</f>
        <v>77122</v>
      </c>
      <c r="E6" s="18">
        <f t="shared" si="0"/>
        <v>1.06522099447514</v>
      </c>
      <c r="F6" s="1" t="s">
        <v>16</v>
      </c>
      <c r="G6" s="51">
        <v>31496</v>
      </c>
      <c r="H6" s="22">
        <v>30626</v>
      </c>
      <c r="I6" s="22">
        <v>30518</v>
      </c>
      <c r="J6" s="60">
        <f t="shared" si="1"/>
        <v>0.996473584536015</v>
      </c>
      <c r="K6" s="42" t="s">
        <v>134</v>
      </c>
      <c r="L6" s="22">
        <v>138050</v>
      </c>
      <c r="M6" s="22">
        <v>121163</v>
      </c>
      <c r="N6" s="51">
        <v>125916</v>
      </c>
      <c r="O6" s="5">
        <f t="shared" si="2"/>
        <v>1.03922814720666</v>
      </c>
    </row>
    <row r="7" ht="16.5" customHeight="1" spans="1:15">
      <c r="A7" s="1" t="s">
        <v>18</v>
      </c>
      <c r="B7" s="51">
        <f>SUM(B8:B9)</f>
        <v>45550</v>
      </c>
      <c r="C7" s="51">
        <f>SUM(C8:C9)</f>
        <v>31280</v>
      </c>
      <c r="D7" s="51">
        <f>SUM(D8:D9)</f>
        <v>31173</v>
      </c>
      <c r="E7" s="5">
        <f t="shared" si="0"/>
        <v>0.996579283887468</v>
      </c>
      <c r="F7" s="1" t="s">
        <v>19</v>
      </c>
      <c r="G7" s="51">
        <v>309</v>
      </c>
      <c r="H7" s="22">
        <v>346</v>
      </c>
      <c r="I7" s="22">
        <v>346</v>
      </c>
      <c r="J7" s="60">
        <f t="shared" si="1"/>
        <v>1</v>
      </c>
      <c r="K7" s="42" t="s">
        <v>135</v>
      </c>
      <c r="L7" s="22">
        <v>2200</v>
      </c>
      <c r="M7" s="22">
        <v>1900</v>
      </c>
      <c r="N7" s="51">
        <v>2535</v>
      </c>
      <c r="O7" s="5">
        <f t="shared" si="2"/>
        <v>1.33421052631579</v>
      </c>
    </row>
    <row r="8" ht="16.5" customHeight="1" spans="1:15">
      <c r="A8" s="1" t="s">
        <v>136</v>
      </c>
      <c r="B8" s="51">
        <v>28200</v>
      </c>
      <c r="C8" s="51">
        <v>20410</v>
      </c>
      <c r="D8" s="51">
        <v>20047</v>
      </c>
      <c r="E8" s="5">
        <f t="shared" si="0"/>
        <v>0.982214600685938</v>
      </c>
      <c r="F8" s="1" t="s">
        <v>22</v>
      </c>
      <c r="G8" s="51">
        <v>11346</v>
      </c>
      <c r="H8" s="22">
        <v>13040</v>
      </c>
      <c r="I8" s="22">
        <v>13040</v>
      </c>
      <c r="J8" s="60">
        <f t="shared" si="1"/>
        <v>1</v>
      </c>
      <c r="K8" s="42" t="s">
        <v>137</v>
      </c>
      <c r="L8" s="22">
        <v>700</v>
      </c>
      <c r="M8" s="22">
        <v>817</v>
      </c>
      <c r="N8" s="51">
        <v>817</v>
      </c>
      <c r="O8" s="5">
        <f t="shared" si="2"/>
        <v>1</v>
      </c>
    </row>
    <row r="9" ht="16.5" customHeight="1" spans="1:15">
      <c r="A9" s="1" t="s">
        <v>138</v>
      </c>
      <c r="B9" s="51">
        <v>17350</v>
      </c>
      <c r="C9" s="51">
        <v>10870</v>
      </c>
      <c r="D9" s="51">
        <v>11126</v>
      </c>
      <c r="E9" s="5">
        <f t="shared" si="0"/>
        <v>1.02355105795768</v>
      </c>
      <c r="F9" s="1" t="s">
        <v>25</v>
      </c>
      <c r="G9" s="51">
        <v>82602</v>
      </c>
      <c r="H9" s="22">
        <v>90697</v>
      </c>
      <c r="I9" s="22">
        <v>90657</v>
      </c>
      <c r="J9" s="60">
        <f t="shared" si="1"/>
        <v>0.999558971079529</v>
      </c>
      <c r="K9" s="42" t="s">
        <v>139</v>
      </c>
      <c r="L9" s="22">
        <v>250</v>
      </c>
      <c r="M9" s="22">
        <v>120</v>
      </c>
      <c r="N9" s="51">
        <v>117</v>
      </c>
      <c r="O9" s="5">
        <f t="shared" si="2"/>
        <v>0.975</v>
      </c>
    </row>
    <row r="10" ht="16.5" customHeight="1" spans="1:15">
      <c r="A10" s="1" t="s">
        <v>27</v>
      </c>
      <c r="B10" s="99"/>
      <c r="C10" s="51"/>
      <c r="D10" s="51"/>
      <c r="E10" s="5"/>
      <c r="F10" s="1" t="s">
        <v>28</v>
      </c>
      <c r="G10" s="51">
        <v>2725</v>
      </c>
      <c r="H10" s="51">
        <v>3585</v>
      </c>
      <c r="I10" s="22">
        <v>3543</v>
      </c>
      <c r="J10" s="60">
        <f t="shared" si="1"/>
        <v>0.988284518828452</v>
      </c>
      <c r="K10" s="42" t="s">
        <v>140</v>
      </c>
      <c r="L10" s="22">
        <v>300</v>
      </c>
      <c r="M10" s="22">
        <v>300</v>
      </c>
      <c r="N10" s="51">
        <v>296</v>
      </c>
      <c r="O10" s="5">
        <f t="shared" si="2"/>
        <v>0.986666666666667</v>
      </c>
    </row>
    <row r="11" ht="16.5" customHeight="1" spans="1:15">
      <c r="A11" s="1" t="s">
        <v>30</v>
      </c>
      <c r="B11" s="99">
        <v>11450</v>
      </c>
      <c r="C11" s="51">
        <v>9200</v>
      </c>
      <c r="D11" s="51">
        <v>9160</v>
      </c>
      <c r="E11" s="5">
        <f t="shared" si="0"/>
        <v>0.995652173913044</v>
      </c>
      <c r="F11" s="1" t="s">
        <v>31</v>
      </c>
      <c r="G11" s="51">
        <v>3317</v>
      </c>
      <c r="H11" s="51">
        <v>5162</v>
      </c>
      <c r="I11" s="22">
        <v>5132</v>
      </c>
      <c r="J11" s="60">
        <f t="shared" si="1"/>
        <v>0.994188299108873</v>
      </c>
      <c r="K11" s="21" t="s">
        <v>32</v>
      </c>
      <c r="L11" s="19">
        <v>824</v>
      </c>
      <c r="M11" s="19">
        <v>824</v>
      </c>
      <c r="N11" s="19">
        <v>10343</v>
      </c>
      <c r="O11" s="5"/>
    </row>
    <row r="12" ht="16.5" customHeight="1" spans="1:15">
      <c r="A12" s="1" t="s">
        <v>33</v>
      </c>
      <c r="B12" s="99">
        <v>2000</v>
      </c>
      <c r="C12" s="51">
        <v>7400</v>
      </c>
      <c r="D12" s="51">
        <v>10469</v>
      </c>
      <c r="E12" s="5">
        <f t="shared" si="0"/>
        <v>1.41472972972973</v>
      </c>
      <c r="F12" s="1" t="s">
        <v>34</v>
      </c>
      <c r="G12" s="51">
        <v>53887</v>
      </c>
      <c r="H12" s="51">
        <v>58189</v>
      </c>
      <c r="I12" s="22">
        <v>58088</v>
      </c>
      <c r="J12" s="60">
        <f t="shared" si="1"/>
        <v>0.998264276753338</v>
      </c>
      <c r="K12" s="21" t="s">
        <v>143</v>
      </c>
      <c r="L12" s="19"/>
      <c r="M12" s="19">
        <v>14502</v>
      </c>
      <c r="N12" s="19">
        <v>14652</v>
      </c>
      <c r="O12" s="45"/>
    </row>
    <row r="13" ht="16.5" customHeight="1" spans="1:15">
      <c r="A13" s="1" t="s">
        <v>36</v>
      </c>
      <c r="B13" s="68">
        <v>2300</v>
      </c>
      <c r="C13" s="68">
        <v>1400</v>
      </c>
      <c r="D13" s="51">
        <v>1398</v>
      </c>
      <c r="E13" s="5">
        <f t="shared" si="0"/>
        <v>0.998571428571429</v>
      </c>
      <c r="F13" s="1" t="s">
        <v>37</v>
      </c>
      <c r="G13" s="51">
        <v>24627</v>
      </c>
      <c r="H13" s="51">
        <v>30774</v>
      </c>
      <c r="I13" s="22">
        <v>30620</v>
      </c>
      <c r="J13" s="61">
        <f t="shared" si="1"/>
        <v>0.994995775654773</v>
      </c>
      <c r="K13" s="21" t="s">
        <v>38</v>
      </c>
      <c r="L13" s="19"/>
      <c r="M13" s="19">
        <v>48400</v>
      </c>
      <c r="N13" s="19">
        <v>48400</v>
      </c>
      <c r="O13" s="45"/>
    </row>
    <row r="14" ht="16.5" customHeight="1" spans="1:15">
      <c r="A14" s="1" t="s">
        <v>39</v>
      </c>
      <c r="B14" s="68">
        <v>4200</v>
      </c>
      <c r="C14" s="68">
        <v>2700</v>
      </c>
      <c r="D14" s="51">
        <v>2909</v>
      </c>
      <c r="E14" s="5">
        <f t="shared" si="0"/>
        <v>1.07740740740741</v>
      </c>
      <c r="F14" s="1" t="s">
        <v>40</v>
      </c>
      <c r="G14" s="51">
        <v>4807</v>
      </c>
      <c r="H14" s="51">
        <v>10464</v>
      </c>
      <c r="I14" s="22">
        <v>10464</v>
      </c>
      <c r="J14" s="60">
        <f t="shared" si="1"/>
        <v>1</v>
      </c>
      <c r="K14" s="21" t="s">
        <v>192</v>
      </c>
      <c r="L14" s="19"/>
      <c r="M14" s="19"/>
      <c r="N14" s="19">
        <v>521</v>
      </c>
      <c r="O14" s="45"/>
    </row>
    <row r="15" ht="16.5" customHeight="1" spans="1:15">
      <c r="A15" s="1" t="s">
        <v>42</v>
      </c>
      <c r="B15" s="68">
        <v>2600</v>
      </c>
      <c r="C15" s="68">
        <v>2400</v>
      </c>
      <c r="D15" s="51">
        <v>2311</v>
      </c>
      <c r="E15" s="5">
        <f t="shared" si="0"/>
        <v>0.962916666666667</v>
      </c>
      <c r="F15" s="1" t="s">
        <v>43</v>
      </c>
      <c r="G15" s="51">
        <v>5445</v>
      </c>
      <c r="H15" s="51">
        <v>17319</v>
      </c>
      <c r="I15" s="22">
        <v>17319</v>
      </c>
      <c r="J15" s="60">
        <f t="shared" si="1"/>
        <v>1</v>
      </c>
      <c r="K15" s="46" t="s">
        <v>41</v>
      </c>
      <c r="L15" s="19">
        <f t="shared" ref="L15:N15" si="3">SUM(L12,L11,L5,L13,L14)</f>
        <v>142324</v>
      </c>
      <c r="M15" s="19">
        <f t="shared" si="3"/>
        <v>188026</v>
      </c>
      <c r="N15" s="19">
        <f t="shared" si="3"/>
        <v>203597</v>
      </c>
      <c r="O15" s="4"/>
    </row>
    <row r="16" ht="16.5" customHeight="1" spans="1:15">
      <c r="A16" s="1" t="s">
        <v>45</v>
      </c>
      <c r="B16" s="68">
        <v>1330</v>
      </c>
      <c r="C16" s="68">
        <v>1200</v>
      </c>
      <c r="D16" s="51">
        <v>1126</v>
      </c>
      <c r="E16" s="5">
        <f t="shared" si="0"/>
        <v>0.938333333333333</v>
      </c>
      <c r="F16" s="1" t="s">
        <v>46</v>
      </c>
      <c r="G16" s="51">
        <v>20016</v>
      </c>
      <c r="H16" s="51">
        <v>55459</v>
      </c>
      <c r="I16" s="22">
        <v>54270</v>
      </c>
      <c r="J16" s="60">
        <f t="shared" si="1"/>
        <v>0.978560738563624</v>
      </c>
      <c r="K16" s="90" t="s">
        <v>44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3200</v>
      </c>
      <c r="C17" s="68">
        <v>3500</v>
      </c>
      <c r="D17" s="51">
        <v>3204</v>
      </c>
      <c r="E17" s="5">
        <f t="shared" si="0"/>
        <v>0.915428571428571</v>
      </c>
      <c r="F17" s="1" t="s">
        <v>48</v>
      </c>
      <c r="G17" s="51">
        <v>3385</v>
      </c>
      <c r="H17" s="22">
        <v>14785</v>
      </c>
      <c r="I17" s="22">
        <v>14136</v>
      </c>
      <c r="J17" s="60">
        <f t="shared" si="1"/>
        <v>0.956104159621238</v>
      </c>
      <c r="K17" s="15" t="s">
        <v>6</v>
      </c>
      <c r="L17" s="15" t="s">
        <v>129</v>
      </c>
      <c r="M17" s="15" t="s">
        <v>130</v>
      </c>
      <c r="N17" s="15" t="s">
        <v>131</v>
      </c>
      <c r="O17" s="15" t="s">
        <v>132</v>
      </c>
    </row>
    <row r="18" ht="16.5" customHeight="1" spans="1:15">
      <c r="A18" s="1" t="s">
        <v>50</v>
      </c>
      <c r="B18" s="68">
        <v>9000</v>
      </c>
      <c r="C18" s="68">
        <v>6420</v>
      </c>
      <c r="D18" s="51">
        <v>8002</v>
      </c>
      <c r="E18" s="5">
        <f t="shared" si="0"/>
        <v>1.24641744548287</v>
      </c>
      <c r="F18" s="1" t="s">
        <v>51</v>
      </c>
      <c r="G18" s="51">
        <v>13687</v>
      </c>
      <c r="H18" s="22">
        <v>13914</v>
      </c>
      <c r="I18" s="22">
        <v>13862</v>
      </c>
      <c r="J18" s="60">
        <f t="shared" si="1"/>
        <v>0.996262756935461</v>
      </c>
      <c r="K18" s="16" t="s">
        <v>144</v>
      </c>
      <c r="L18" s="52">
        <f>SUM(L19:L29)</f>
        <v>54429</v>
      </c>
      <c r="M18" s="52">
        <f>SUM(M19:M29)</f>
        <v>104010</v>
      </c>
      <c r="N18" s="52">
        <f>SUM(N19:N29)</f>
        <v>97575</v>
      </c>
      <c r="O18" s="18">
        <f t="shared" ref="O18:O32" si="4">N18/M18</f>
        <v>0.938130948947217</v>
      </c>
    </row>
    <row r="19" ht="16.5" customHeight="1" spans="1:15">
      <c r="A19" s="1" t="s">
        <v>53</v>
      </c>
      <c r="B19" s="68">
        <v>1800</v>
      </c>
      <c r="C19" s="68">
        <v>1800</v>
      </c>
      <c r="D19" s="51">
        <v>1823</v>
      </c>
      <c r="E19" s="5">
        <f t="shared" si="0"/>
        <v>1.01277777777778</v>
      </c>
      <c r="F19" s="1" t="s">
        <v>54</v>
      </c>
      <c r="G19" s="51">
        <v>543</v>
      </c>
      <c r="H19" s="22">
        <v>1249</v>
      </c>
      <c r="I19" s="22">
        <v>1106</v>
      </c>
      <c r="J19" s="60">
        <f t="shared" si="1"/>
        <v>0.88550840672538</v>
      </c>
      <c r="K19" s="42" t="s">
        <v>52</v>
      </c>
      <c r="L19" s="22"/>
      <c r="M19" s="22">
        <v>593</v>
      </c>
      <c r="N19" s="51">
        <v>593</v>
      </c>
      <c r="O19" s="5">
        <f t="shared" si="4"/>
        <v>1</v>
      </c>
    </row>
    <row r="20" ht="16.5" customHeight="1" spans="1:15">
      <c r="A20" s="1" t="s">
        <v>56</v>
      </c>
      <c r="B20" s="68">
        <v>170</v>
      </c>
      <c r="C20" s="68">
        <v>170</v>
      </c>
      <c r="D20" s="51">
        <v>171</v>
      </c>
      <c r="E20" s="5">
        <f t="shared" si="0"/>
        <v>1.00588235294118</v>
      </c>
      <c r="F20" s="1" t="s">
        <v>57</v>
      </c>
      <c r="G20" s="51"/>
      <c r="H20" s="22">
        <v>19</v>
      </c>
      <c r="I20" s="22">
        <v>19</v>
      </c>
      <c r="J20" s="60">
        <f t="shared" si="1"/>
        <v>1</v>
      </c>
      <c r="K20" s="81" t="s">
        <v>55</v>
      </c>
      <c r="L20" s="22">
        <v>50155</v>
      </c>
      <c r="M20" s="22">
        <v>39747</v>
      </c>
      <c r="N20" s="51">
        <v>34233</v>
      </c>
      <c r="O20" s="5">
        <f t="shared" si="4"/>
        <v>0.861272548871613</v>
      </c>
    </row>
    <row r="21" ht="16.5" customHeight="1" spans="1:15">
      <c r="A21" s="1" t="s">
        <v>59</v>
      </c>
      <c r="B21" s="51">
        <v>1400</v>
      </c>
      <c r="C21" s="51">
        <v>170</v>
      </c>
      <c r="D21" s="51">
        <v>254</v>
      </c>
      <c r="E21" s="5">
        <f t="shared" si="0"/>
        <v>1.49411764705882</v>
      </c>
      <c r="F21" s="1" t="s">
        <v>60</v>
      </c>
      <c r="G21" s="51">
        <v>1500</v>
      </c>
      <c r="H21" s="22">
        <v>6673</v>
      </c>
      <c r="I21" s="22">
        <v>2961</v>
      </c>
      <c r="J21" s="60">
        <f t="shared" si="1"/>
        <v>0.443728457964933</v>
      </c>
      <c r="K21" s="42" t="s">
        <v>58</v>
      </c>
      <c r="L21" s="22"/>
      <c r="M21" s="22">
        <v>39</v>
      </c>
      <c r="N21" s="51">
        <v>39</v>
      </c>
      <c r="O21" s="5">
        <f t="shared" si="4"/>
        <v>1</v>
      </c>
    </row>
    <row r="22" ht="16.5" customHeight="1" spans="1:15">
      <c r="A22" s="1" t="s">
        <v>62</v>
      </c>
      <c r="B22" s="51">
        <v>6900</v>
      </c>
      <c r="C22" s="51">
        <v>4760</v>
      </c>
      <c r="D22" s="51">
        <v>5122</v>
      </c>
      <c r="E22" s="5">
        <f t="shared" si="0"/>
        <v>1.07605042016807</v>
      </c>
      <c r="F22" s="1" t="s">
        <v>63</v>
      </c>
      <c r="G22" s="51">
        <v>1767</v>
      </c>
      <c r="H22" s="22">
        <v>5337</v>
      </c>
      <c r="I22" s="22">
        <v>5337</v>
      </c>
      <c r="J22" s="60">
        <f t="shared" si="1"/>
        <v>1</v>
      </c>
      <c r="K22" s="42" t="s">
        <v>61</v>
      </c>
      <c r="L22" s="22">
        <v>2200</v>
      </c>
      <c r="M22" s="22">
        <v>2779</v>
      </c>
      <c r="N22" s="51">
        <v>2093</v>
      </c>
      <c r="O22" s="5">
        <f t="shared" si="4"/>
        <v>0.753148614609572</v>
      </c>
    </row>
    <row r="23" ht="16.5" customHeight="1" spans="1:15">
      <c r="A23" s="1" t="s">
        <v>65</v>
      </c>
      <c r="B23" s="51"/>
      <c r="C23" s="51"/>
      <c r="D23" s="51"/>
      <c r="E23" s="5"/>
      <c r="F23" s="1" t="s">
        <v>66</v>
      </c>
      <c r="G23" s="51">
        <v>1405</v>
      </c>
      <c r="H23" s="22">
        <v>533</v>
      </c>
      <c r="I23" s="22">
        <v>533</v>
      </c>
      <c r="J23" s="60">
        <f t="shared" si="1"/>
        <v>1</v>
      </c>
      <c r="K23" s="42" t="s">
        <v>64</v>
      </c>
      <c r="L23" s="22">
        <v>700</v>
      </c>
      <c r="M23" s="22">
        <v>916</v>
      </c>
      <c r="N23" s="51">
        <v>700</v>
      </c>
      <c r="O23" s="5">
        <f t="shared" si="4"/>
        <v>0.764192139737991</v>
      </c>
    </row>
    <row r="24" ht="16.5" customHeight="1" spans="1:15">
      <c r="A24" s="21" t="s">
        <v>68</v>
      </c>
      <c r="B24" s="52">
        <f>SUM(B25,B27:B32)</f>
        <v>34500</v>
      </c>
      <c r="C24" s="52">
        <f>SUM(C25,C27:C32)</f>
        <v>39100</v>
      </c>
      <c r="D24" s="52">
        <f>SUM(D25,D27:D32)</f>
        <v>41062</v>
      </c>
      <c r="E24" s="18">
        <f t="shared" si="0"/>
        <v>1.05017902813299</v>
      </c>
      <c r="F24" s="1" t="s">
        <v>69</v>
      </c>
      <c r="G24" s="51">
        <v>3509</v>
      </c>
      <c r="H24" s="22">
        <v>3839</v>
      </c>
      <c r="I24" s="22">
        <v>3626</v>
      </c>
      <c r="J24" s="60">
        <f t="shared" si="1"/>
        <v>0.944516801250326</v>
      </c>
      <c r="K24" s="42" t="s">
        <v>171</v>
      </c>
      <c r="L24" s="22"/>
      <c r="M24" s="22">
        <v>7440</v>
      </c>
      <c r="N24" s="51">
        <v>7440</v>
      </c>
      <c r="O24" s="5">
        <f t="shared" si="4"/>
        <v>1</v>
      </c>
    </row>
    <row r="25" ht="16.5" customHeight="1" spans="1:15">
      <c r="A25" s="1" t="s">
        <v>71</v>
      </c>
      <c r="B25" s="51">
        <v>8500</v>
      </c>
      <c r="C25" s="51">
        <v>7700</v>
      </c>
      <c r="D25" s="51">
        <v>8032</v>
      </c>
      <c r="E25" s="5">
        <f t="shared" si="0"/>
        <v>1.04311688311688</v>
      </c>
      <c r="F25" s="1" t="s">
        <v>72</v>
      </c>
      <c r="G25" s="51">
        <v>15560</v>
      </c>
      <c r="H25" s="22">
        <v>15716</v>
      </c>
      <c r="I25" s="22">
        <v>15716</v>
      </c>
      <c r="J25" s="60">
        <f t="shared" si="1"/>
        <v>1</v>
      </c>
      <c r="K25" s="81" t="s">
        <v>70</v>
      </c>
      <c r="L25" s="22">
        <v>300</v>
      </c>
      <c r="M25" s="22">
        <v>300</v>
      </c>
      <c r="N25" s="51">
        <v>300</v>
      </c>
      <c r="O25" s="5">
        <f t="shared" si="4"/>
        <v>1</v>
      </c>
    </row>
    <row r="26" ht="16.5" customHeight="1" spans="1:15">
      <c r="A26" s="1" t="s">
        <v>151</v>
      </c>
      <c r="B26" s="51">
        <v>2600</v>
      </c>
      <c r="C26" s="51">
        <v>1700</v>
      </c>
      <c r="D26" s="51">
        <v>1882</v>
      </c>
      <c r="E26" s="5">
        <f t="shared" si="0"/>
        <v>1.10705882352941</v>
      </c>
      <c r="F26" s="1" t="s">
        <v>75</v>
      </c>
      <c r="G26" s="51">
        <v>3000</v>
      </c>
      <c r="H26" s="22">
        <v>112</v>
      </c>
      <c r="I26" s="22">
        <v>102</v>
      </c>
      <c r="J26" s="80">
        <f t="shared" si="1"/>
        <v>0.910714285714286</v>
      </c>
      <c r="K26" s="42" t="s">
        <v>73</v>
      </c>
      <c r="L26" s="22">
        <v>1074</v>
      </c>
      <c r="M26" s="22">
        <v>2034</v>
      </c>
      <c r="N26" s="51">
        <v>2015</v>
      </c>
      <c r="O26" s="5">
        <f t="shared" si="4"/>
        <v>0.990658800393314</v>
      </c>
    </row>
    <row r="27" ht="16.5" customHeight="1" spans="1:15">
      <c r="A27" s="1" t="s">
        <v>77</v>
      </c>
      <c r="B27" s="4">
        <v>1200</v>
      </c>
      <c r="C27" s="51">
        <v>2700</v>
      </c>
      <c r="D27" s="51">
        <v>3238</v>
      </c>
      <c r="E27" s="5">
        <f t="shared" si="0"/>
        <v>1.19925925925926</v>
      </c>
      <c r="F27" s="26" t="s">
        <v>78</v>
      </c>
      <c r="G27" s="69">
        <f>SUM(G28:G29)</f>
        <v>7100</v>
      </c>
      <c r="H27" s="69">
        <f>SUM(H28:H29)</f>
        <v>8800</v>
      </c>
      <c r="I27" s="69">
        <f>SUM(I28:I29)</f>
        <v>7234</v>
      </c>
      <c r="J27" s="5"/>
      <c r="K27" s="81" t="s">
        <v>172</v>
      </c>
      <c r="L27" s="22"/>
      <c r="M27" s="22">
        <v>48400</v>
      </c>
      <c r="N27" s="51">
        <v>48400</v>
      </c>
      <c r="O27" s="5">
        <f t="shared" si="4"/>
        <v>1</v>
      </c>
    </row>
    <row r="28" ht="16.5" customHeight="1" spans="1:15">
      <c r="A28" s="1" t="s">
        <v>80</v>
      </c>
      <c r="B28" s="4">
        <v>3000</v>
      </c>
      <c r="C28" s="51">
        <v>2200</v>
      </c>
      <c r="D28" s="51">
        <v>2520</v>
      </c>
      <c r="E28" s="5">
        <f t="shared" si="0"/>
        <v>1.14545454545455</v>
      </c>
      <c r="F28" s="1" t="s">
        <v>81</v>
      </c>
      <c r="G28" s="51">
        <v>3100</v>
      </c>
      <c r="H28" s="22">
        <v>3403</v>
      </c>
      <c r="I28" s="22">
        <v>3403</v>
      </c>
      <c r="J28" s="5"/>
      <c r="K28" s="42" t="s">
        <v>173</v>
      </c>
      <c r="L28" s="22"/>
      <c r="M28" s="22">
        <v>1709</v>
      </c>
      <c r="N28" s="51">
        <v>1709</v>
      </c>
      <c r="O28" s="5">
        <f t="shared" si="4"/>
        <v>1</v>
      </c>
    </row>
    <row r="29" ht="16.5" customHeight="1" spans="1:15">
      <c r="A29" s="1" t="s">
        <v>155</v>
      </c>
      <c r="B29" s="4">
        <v>5400</v>
      </c>
      <c r="C29" s="51"/>
      <c r="D29" s="51"/>
      <c r="E29" s="5"/>
      <c r="F29" s="1" t="s">
        <v>84</v>
      </c>
      <c r="G29" s="71">
        <v>4000</v>
      </c>
      <c r="H29" s="22">
        <v>5397</v>
      </c>
      <c r="I29" s="22">
        <v>3831</v>
      </c>
      <c r="J29" s="5"/>
      <c r="K29" s="42" t="s">
        <v>174</v>
      </c>
      <c r="L29" s="22"/>
      <c r="M29" s="22">
        <v>53</v>
      </c>
      <c r="N29" s="51">
        <v>53</v>
      </c>
      <c r="O29" s="5">
        <f t="shared" si="4"/>
        <v>1</v>
      </c>
    </row>
    <row r="30" ht="16.5" customHeight="1" spans="1:15">
      <c r="A30" s="1" t="s">
        <v>86</v>
      </c>
      <c r="B30" s="4">
        <v>1400</v>
      </c>
      <c r="C30" s="51">
        <v>4000</v>
      </c>
      <c r="D30" s="51">
        <v>4391</v>
      </c>
      <c r="E30" s="5">
        <f t="shared" si="0"/>
        <v>1.09775</v>
      </c>
      <c r="F30" s="26" t="s">
        <v>87</v>
      </c>
      <c r="G30" s="72"/>
      <c r="H30" s="19">
        <v>20059</v>
      </c>
      <c r="I30" s="19">
        <v>85326</v>
      </c>
      <c r="J30" s="5"/>
      <c r="K30" s="16" t="s">
        <v>82</v>
      </c>
      <c r="L30" s="22">
        <v>87895</v>
      </c>
      <c r="M30" s="19">
        <v>91050</v>
      </c>
      <c r="N30" s="41">
        <v>91597</v>
      </c>
      <c r="O30" s="5">
        <f t="shared" si="4"/>
        <v>1.00600768808347</v>
      </c>
    </row>
    <row r="31" ht="16.5" customHeight="1" spans="1:15">
      <c r="A31" s="1" t="s">
        <v>89</v>
      </c>
      <c r="B31" s="4">
        <v>55</v>
      </c>
      <c r="C31" s="51">
        <v>55</v>
      </c>
      <c r="D31" s="51">
        <v>58</v>
      </c>
      <c r="E31" s="5">
        <f t="shared" si="0"/>
        <v>1.05454545454545</v>
      </c>
      <c r="F31" s="26" t="s">
        <v>90</v>
      </c>
      <c r="G31" s="72"/>
      <c r="H31" s="22"/>
      <c r="I31" s="19">
        <v>15507</v>
      </c>
      <c r="J31" s="5"/>
      <c r="K31" s="16" t="s">
        <v>85</v>
      </c>
      <c r="L31" s="22"/>
      <c r="M31" s="19"/>
      <c r="N31" s="41">
        <v>49</v>
      </c>
      <c r="O31" s="5"/>
    </row>
    <row r="32" ht="16.5" customHeight="1" spans="1:15">
      <c r="A32" s="1" t="s">
        <v>158</v>
      </c>
      <c r="B32" s="4">
        <v>14945</v>
      </c>
      <c r="C32" s="51">
        <v>22445</v>
      </c>
      <c r="D32" s="51">
        <v>22823</v>
      </c>
      <c r="E32" s="5">
        <f t="shared" si="0"/>
        <v>1.01684116729784</v>
      </c>
      <c r="F32" s="26" t="s">
        <v>93</v>
      </c>
      <c r="G32" s="72">
        <v>1134</v>
      </c>
      <c r="H32" s="19">
        <v>1204</v>
      </c>
      <c r="I32" s="19">
        <v>1204</v>
      </c>
      <c r="J32" s="5"/>
      <c r="K32" s="21" t="s">
        <v>188</v>
      </c>
      <c r="L32" s="22"/>
      <c r="M32" s="19">
        <v>7941</v>
      </c>
      <c r="N32" s="52">
        <v>7941</v>
      </c>
      <c r="O32" s="5">
        <f t="shared" si="4"/>
        <v>1</v>
      </c>
    </row>
    <row r="33" ht="16.5" customHeight="1" spans="1:15">
      <c r="A33" s="28" t="s">
        <v>94</v>
      </c>
      <c r="B33" s="52">
        <f>SUM(B34:B36)</f>
        <v>78837</v>
      </c>
      <c r="C33" s="52">
        <f>SUM(C34:C36)</f>
        <v>100921</v>
      </c>
      <c r="D33" s="52">
        <f>SUM(D34:D36)</f>
        <v>177650</v>
      </c>
      <c r="E33" s="18"/>
      <c r="F33" s="26" t="s">
        <v>95</v>
      </c>
      <c r="G33" s="72"/>
      <c r="H33" s="19"/>
      <c r="I33" s="19">
        <v>519</v>
      </c>
      <c r="J33" s="5"/>
      <c r="K33" s="21" t="s">
        <v>193</v>
      </c>
      <c r="L33" s="22"/>
      <c r="M33" s="22"/>
      <c r="N33" s="52">
        <v>6435</v>
      </c>
      <c r="O33" s="4"/>
    </row>
    <row r="34" ht="16.5" customHeight="1" spans="1:15">
      <c r="A34" s="29" t="s">
        <v>96</v>
      </c>
      <c r="B34" s="51">
        <v>10690</v>
      </c>
      <c r="C34" s="51">
        <v>10690</v>
      </c>
      <c r="D34" s="51">
        <v>10690</v>
      </c>
      <c r="E34" s="5"/>
      <c r="F34" s="21" t="s">
        <v>97</v>
      </c>
      <c r="G34" s="52"/>
      <c r="H34" s="22"/>
      <c r="I34" s="19">
        <v>6443</v>
      </c>
      <c r="J34" s="5"/>
      <c r="K34" s="21" t="s">
        <v>91</v>
      </c>
      <c r="L34" s="19">
        <f>SUM(L18,L30:L32)</f>
        <v>142324</v>
      </c>
      <c r="M34" s="22"/>
      <c r="N34" s="19">
        <f>SUM(N18,N30:N33)</f>
        <v>203597</v>
      </c>
      <c r="O34" s="4"/>
    </row>
    <row r="35" ht="16.5" customHeight="1" spans="1:15">
      <c r="A35" s="29" t="s">
        <v>99</v>
      </c>
      <c r="B35" s="51">
        <v>41480</v>
      </c>
      <c r="C35" s="51">
        <v>63564</v>
      </c>
      <c r="D35" s="51">
        <v>134530</v>
      </c>
      <c r="E35" s="5"/>
      <c r="F35" s="1" t="s">
        <v>100</v>
      </c>
      <c r="G35" s="51"/>
      <c r="H35" s="22"/>
      <c r="I35" s="22">
        <v>6443</v>
      </c>
      <c r="J35" s="5"/>
      <c r="K35" s="93" t="s">
        <v>98</v>
      </c>
      <c r="L35" s="94"/>
      <c r="M35" s="94"/>
      <c r="N35" s="94"/>
      <c r="O35" s="95"/>
    </row>
    <row r="36" ht="16.5" customHeight="1" spans="1:15">
      <c r="A36" s="29" t="s">
        <v>160</v>
      </c>
      <c r="B36" s="51">
        <v>26667</v>
      </c>
      <c r="C36" s="51">
        <v>26667</v>
      </c>
      <c r="D36" s="51">
        <v>32430</v>
      </c>
      <c r="E36" s="5"/>
      <c r="F36" s="21" t="s">
        <v>103</v>
      </c>
      <c r="G36" s="52">
        <f>SUM(G5,G27,G30:G34)</f>
        <v>293167</v>
      </c>
      <c r="H36" s="52">
        <f>SUM(H5,H27,H30:H34)</f>
        <v>407901</v>
      </c>
      <c r="I36" s="52">
        <f>SUM(I5,I27,I30:I34)</f>
        <v>487628</v>
      </c>
      <c r="J36" s="4"/>
      <c r="K36" s="21" t="s">
        <v>104</v>
      </c>
      <c r="L36" s="45">
        <v>110</v>
      </c>
      <c r="M36" s="45">
        <v>235</v>
      </c>
      <c r="N36" s="45">
        <v>235</v>
      </c>
      <c r="O36" s="18">
        <f>N36/M36</f>
        <v>1</v>
      </c>
    </row>
    <row r="37" ht="16.5" customHeight="1" spans="1:15">
      <c r="A37" s="33" t="s">
        <v>105</v>
      </c>
      <c r="B37" s="72"/>
      <c r="C37" s="52">
        <v>499</v>
      </c>
      <c r="D37" s="52">
        <v>4510</v>
      </c>
      <c r="E37" s="45"/>
      <c r="F37" s="30" t="s">
        <v>106</v>
      </c>
      <c r="G37" s="31"/>
      <c r="H37" s="31"/>
      <c r="I37" s="31"/>
      <c r="J37" s="48"/>
      <c r="K37" s="21" t="s">
        <v>107</v>
      </c>
      <c r="L37" s="45"/>
      <c r="M37" s="45"/>
      <c r="N37" s="45">
        <v>5</v>
      </c>
      <c r="O37" s="18"/>
    </row>
    <row r="38" ht="16.5" customHeight="1" spans="1:15">
      <c r="A38" s="33" t="s">
        <v>108</v>
      </c>
      <c r="B38" s="85"/>
      <c r="C38" s="52">
        <v>11452</v>
      </c>
      <c r="D38" s="52">
        <v>75918</v>
      </c>
      <c r="E38" s="1"/>
      <c r="F38" s="15" t="s">
        <v>6</v>
      </c>
      <c r="G38" s="4" t="s">
        <v>129</v>
      </c>
      <c r="H38" s="4" t="s">
        <v>130</v>
      </c>
      <c r="I38" s="4" t="s">
        <v>131</v>
      </c>
      <c r="J38" s="4" t="s">
        <v>132</v>
      </c>
      <c r="K38" s="21" t="s">
        <v>109</v>
      </c>
      <c r="L38" s="45">
        <v>75</v>
      </c>
      <c r="M38" s="45">
        <v>179</v>
      </c>
      <c r="N38" s="45">
        <v>179</v>
      </c>
      <c r="O38" s="18">
        <f>N38/M38</f>
        <v>1</v>
      </c>
    </row>
    <row r="39" ht="16.5" customHeight="1" spans="1:15">
      <c r="A39" s="87" t="s">
        <v>110</v>
      </c>
      <c r="B39" s="52"/>
      <c r="C39" s="52">
        <v>13008</v>
      </c>
      <c r="D39" s="52">
        <v>13008</v>
      </c>
      <c r="E39" s="5"/>
      <c r="F39" s="21" t="s">
        <v>12</v>
      </c>
      <c r="G39" s="85">
        <f>B5</f>
        <v>126400</v>
      </c>
      <c r="H39" s="85">
        <f>C5</f>
        <v>111500</v>
      </c>
      <c r="I39" s="85">
        <f>D5</f>
        <v>118184</v>
      </c>
      <c r="J39" s="18">
        <f t="shared" ref="J39:J46" si="5">I39/H39</f>
        <v>1.05994618834081</v>
      </c>
      <c r="K39" s="21" t="s">
        <v>114</v>
      </c>
      <c r="L39" s="45">
        <v>35</v>
      </c>
      <c r="M39" s="45">
        <v>61</v>
      </c>
      <c r="N39" s="45">
        <v>61</v>
      </c>
      <c r="O39" s="18"/>
    </row>
    <row r="40" ht="16.5" customHeight="1" spans="1:15">
      <c r="A40" s="33" t="s">
        <v>112</v>
      </c>
      <c r="B40" s="52">
        <v>87930</v>
      </c>
      <c r="C40" s="52">
        <v>93387</v>
      </c>
      <c r="D40" s="52">
        <v>98358</v>
      </c>
      <c r="E40" s="5"/>
      <c r="F40" s="34" t="s">
        <v>113</v>
      </c>
      <c r="G40" s="85">
        <f>SUM(G41:G45)</f>
        <v>72000</v>
      </c>
      <c r="H40" s="85">
        <f>SUM(H41:H45)</f>
        <v>62500</v>
      </c>
      <c r="I40" s="85">
        <f>SUM(I41:I45)</f>
        <v>67001.5</v>
      </c>
      <c r="J40" s="18">
        <f t="shared" si="5"/>
        <v>1.072024</v>
      </c>
      <c r="K40" s="93" t="s">
        <v>116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164</v>
      </c>
      <c r="G41" s="51">
        <f>B7</f>
        <v>45550</v>
      </c>
      <c r="H41" s="51">
        <f>C7</f>
        <v>31280</v>
      </c>
      <c r="I41" s="51">
        <f>D7</f>
        <v>31173</v>
      </c>
      <c r="J41" s="5">
        <f t="shared" si="5"/>
        <v>0.996579283887468</v>
      </c>
      <c r="K41" s="21" t="s">
        <v>119</v>
      </c>
      <c r="L41" s="45">
        <v>50210</v>
      </c>
      <c r="M41" s="66">
        <v>57257</v>
      </c>
      <c r="N41" s="21">
        <v>58869</v>
      </c>
      <c r="O41" s="18">
        <f>N41/M41</f>
        <v>1.02815376285869</v>
      </c>
    </row>
    <row r="42" ht="16.5" customHeight="1" spans="1:15">
      <c r="A42" s="33"/>
      <c r="B42" s="51"/>
      <c r="C42" s="52"/>
      <c r="D42" s="52"/>
      <c r="E42" s="5"/>
      <c r="F42" s="35" t="s">
        <v>117</v>
      </c>
      <c r="G42" s="51">
        <f t="shared" ref="G42:I43" si="6">B11*1.5</f>
        <v>17175</v>
      </c>
      <c r="H42" s="51">
        <f t="shared" si="6"/>
        <v>13800</v>
      </c>
      <c r="I42" s="51">
        <f t="shared" si="6"/>
        <v>13740</v>
      </c>
      <c r="J42" s="5">
        <f t="shared" si="5"/>
        <v>0.995652173913044</v>
      </c>
      <c r="K42" s="1" t="s">
        <v>166</v>
      </c>
      <c r="L42" s="104">
        <v>20195</v>
      </c>
      <c r="M42" s="67">
        <v>21116</v>
      </c>
      <c r="N42" s="1">
        <v>21327</v>
      </c>
      <c r="O42" s="18">
        <f t="shared" ref="O42:O44" si="7">N42/M42</f>
        <v>1.00999242280735</v>
      </c>
    </row>
    <row r="43" ht="17.25" customHeight="1" spans="1:15">
      <c r="A43" s="33"/>
      <c r="B43" s="51"/>
      <c r="C43" s="51"/>
      <c r="D43" s="52"/>
      <c r="E43" s="5"/>
      <c r="F43" s="35" t="s">
        <v>118</v>
      </c>
      <c r="G43" s="51">
        <f t="shared" si="6"/>
        <v>3000</v>
      </c>
      <c r="H43" s="51">
        <f t="shared" si="6"/>
        <v>11100</v>
      </c>
      <c r="I43" s="51">
        <f>D12*1.5-1</f>
        <v>15702.5</v>
      </c>
      <c r="J43" s="5">
        <f t="shared" si="5"/>
        <v>1.41463963963964</v>
      </c>
      <c r="K43" s="1" t="s">
        <v>167</v>
      </c>
      <c r="L43" s="104">
        <v>29069</v>
      </c>
      <c r="M43" s="67">
        <v>34994</v>
      </c>
      <c r="N43" s="1">
        <v>34507</v>
      </c>
      <c r="O43" s="18">
        <f t="shared" si="7"/>
        <v>0.986083328570612</v>
      </c>
    </row>
    <row r="44" ht="21" customHeight="1" spans="1:15">
      <c r="A44" s="33"/>
      <c r="B44" s="51"/>
      <c r="C44" s="51"/>
      <c r="D44" s="52"/>
      <c r="E44" s="5"/>
      <c r="F44" s="35" t="s">
        <v>120</v>
      </c>
      <c r="G44" s="51">
        <v>70</v>
      </c>
      <c r="H44" s="51">
        <v>100</v>
      </c>
      <c r="I44" s="51">
        <v>94</v>
      </c>
      <c r="J44" s="5">
        <f t="shared" si="5"/>
        <v>0.94</v>
      </c>
      <c r="K44" s="21" t="s">
        <v>121</v>
      </c>
      <c r="L44" s="96">
        <v>42764</v>
      </c>
      <c r="M44" s="66">
        <v>43020</v>
      </c>
      <c r="N44" s="21">
        <v>43603</v>
      </c>
      <c r="O44" s="18">
        <f t="shared" si="7"/>
        <v>1.01355183635518</v>
      </c>
    </row>
    <row r="45" ht="15.95" customHeight="1" spans="1:15">
      <c r="A45" s="33"/>
      <c r="B45" s="51"/>
      <c r="C45" s="51"/>
      <c r="D45" s="52"/>
      <c r="E45" s="5"/>
      <c r="F45" s="102" t="s">
        <v>168</v>
      </c>
      <c r="G45" s="4">
        <v>6205</v>
      </c>
      <c r="H45" s="4">
        <v>6220</v>
      </c>
      <c r="I45" s="4">
        <v>6292</v>
      </c>
      <c r="J45" s="5">
        <f t="shared" si="5"/>
        <v>1.01157556270096</v>
      </c>
      <c r="K45" s="21" t="s">
        <v>123</v>
      </c>
      <c r="L45" s="21">
        <f>L41-L44</f>
        <v>7446</v>
      </c>
      <c r="M45" s="21">
        <f>M41-M44</f>
        <v>14237</v>
      </c>
      <c r="N45" s="21">
        <f>N41-N44</f>
        <v>15266</v>
      </c>
      <c r="O45" s="18"/>
    </row>
    <row r="46" ht="15.95" customHeight="1" spans="1:15">
      <c r="A46" s="28" t="s">
        <v>124</v>
      </c>
      <c r="B46" s="52">
        <f>SUM(B5,B33,B37:B40)</f>
        <v>293167</v>
      </c>
      <c r="C46" s="52"/>
      <c r="D46" s="52">
        <f>SUM(D5,D33,D37:D40)</f>
        <v>487628</v>
      </c>
      <c r="E46" s="5"/>
      <c r="F46" s="36" t="s">
        <v>125</v>
      </c>
      <c r="G46" s="85">
        <f>SUM(G39:G40)</f>
        <v>198400</v>
      </c>
      <c r="H46" s="85">
        <f>SUM(H39:H40)</f>
        <v>174000</v>
      </c>
      <c r="I46" s="85">
        <f>SUM(I39:I40)</f>
        <v>185185.5</v>
      </c>
      <c r="J46" s="18">
        <f t="shared" si="5"/>
        <v>1.06428448275862</v>
      </c>
      <c r="K46" s="21" t="s">
        <v>126</v>
      </c>
      <c r="L46" s="1"/>
      <c r="M46" s="1"/>
      <c r="N46" s="21">
        <v>63153</v>
      </c>
      <c r="O46" s="4"/>
    </row>
  </sheetData>
  <mergeCells count="8">
    <mergeCell ref="A1:O1"/>
    <mergeCell ref="A3:E3"/>
    <mergeCell ref="F3:J3"/>
    <mergeCell ref="K3:O3"/>
    <mergeCell ref="K16:O16"/>
    <mergeCell ref="K35:O35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7" workbookViewId="0">
      <selection activeCell="N34" sqref="N34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195</v>
      </c>
      <c r="C4" s="15" t="s">
        <v>178</v>
      </c>
      <c r="D4" s="15" t="s">
        <v>9</v>
      </c>
      <c r="E4" s="15" t="s">
        <v>10</v>
      </c>
      <c r="F4" s="15" t="s">
        <v>6</v>
      </c>
      <c r="G4" s="15" t="s">
        <v>195</v>
      </c>
      <c r="H4" s="15" t="s">
        <v>178</v>
      </c>
      <c r="I4" s="15" t="s">
        <v>11</v>
      </c>
      <c r="J4" s="15" t="s">
        <v>10</v>
      </c>
      <c r="K4" s="15" t="s">
        <v>6</v>
      </c>
      <c r="L4" s="15" t="s">
        <v>195</v>
      </c>
      <c r="M4" s="15" t="s">
        <v>178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SUM(B6,B24)</f>
        <v>122670</v>
      </c>
      <c r="C5" s="52">
        <f>SUM(C6,C24)</f>
        <v>122700</v>
      </c>
      <c r="D5" s="52">
        <f>C5-B5</f>
        <v>30</v>
      </c>
      <c r="E5" s="18">
        <f t="shared" ref="E5:E40" si="0">D5/B5</f>
        <v>0.000244558571777941</v>
      </c>
      <c r="F5" s="21" t="s">
        <v>13</v>
      </c>
      <c r="G5" s="19">
        <f>SUM(G6:G26)</f>
        <v>329954</v>
      </c>
      <c r="H5" s="19">
        <f>SUM(H6:H26)</f>
        <v>333014</v>
      </c>
      <c r="I5" s="19">
        <f>SUM(I6:I26)</f>
        <v>3060</v>
      </c>
      <c r="J5" s="18">
        <f t="shared" ref="J5:J35" si="1">I5/G5</f>
        <v>0.00927402001491117</v>
      </c>
      <c r="K5" s="46" t="s">
        <v>14</v>
      </c>
      <c r="L5" s="52">
        <f>SUM(L6:L10)</f>
        <v>89511</v>
      </c>
      <c r="M5" s="52">
        <f>SUM(M6:M10)</f>
        <v>152518</v>
      </c>
      <c r="N5" s="52">
        <f>SUM(N6:N10)</f>
        <v>63007</v>
      </c>
      <c r="O5" s="18">
        <f t="shared" ref="O5:O12" si="2">N5/L5</f>
        <v>0.703902313682117</v>
      </c>
    </row>
    <row r="6" ht="17.25" customHeight="1" spans="1:15">
      <c r="A6" s="21" t="s">
        <v>15</v>
      </c>
      <c r="B6" s="52">
        <f>SUM(B7,B10:B22)</f>
        <v>90173</v>
      </c>
      <c r="C6" s="52">
        <f>SUM(C7,C10:C23)</f>
        <v>87791</v>
      </c>
      <c r="D6" s="52">
        <f>SUM(D7,D10:D23)</f>
        <v>-2382</v>
      </c>
      <c r="E6" s="18">
        <f t="shared" si="0"/>
        <v>-0.0264158894569328</v>
      </c>
      <c r="F6" s="1" t="s">
        <v>16</v>
      </c>
      <c r="G6" s="22">
        <v>28985</v>
      </c>
      <c r="H6" s="22">
        <v>31379</v>
      </c>
      <c r="I6" s="51">
        <f t="shared" ref="I6:I35" si="3">H6-G6</f>
        <v>2394</v>
      </c>
      <c r="J6" s="5">
        <f t="shared" si="1"/>
        <v>0.0825944454027945</v>
      </c>
      <c r="K6" s="42" t="s">
        <v>17</v>
      </c>
      <c r="L6" s="51">
        <v>86225</v>
      </c>
      <c r="M6" s="51">
        <v>150134</v>
      </c>
      <c r="N6" s="51">
        <f t="shared" ref="N6:N12" si="4">M6-L6</f>
        <v>63909</v>
      </c>
      <c r="O6" s="5">
        <f t="shared" si="2"/>
        <v>0.741188750362424</v>
      </c>
    </row>
    <row r="7" ht="17.25" customHeight="1" spans="1:15">
      <c r="A7" s="1" t="s">
        <v>18</v>
      </c>
      <c r="B7" s="51">
        <f>SUM(B8:B9)</f>
        <v>43931</v>
      </c>
      <c r="C7" s="51">
        <f>SUM(C8:C9)</f>
        <v>45199</v>
      </c>
      <c r="D7" s="51">
        <f>SUM(D8:D9)</f>
        <v>1268</v>
      </c>
      <c r="E7" s="5">
        <f t="shared" si="0"/>
        <v>0.028863444947759</v>
      </c>
      <c r="F7" s="1" t="s">
        <v>19</v>
      </c>
      <c r="G7" s="22">
        <v>377</v>
      </c>
      <c r="H7" s="22">
        <v>343</v>
      </c>
      <c r="I7" s="51">
        <f t="shared" si="3"/>
        <v>-34</v>
      </c>
      <c r="J7" s="5">
        <f t="shared" si="1"/>
        <v>-0.0901856763925729</v>
      </c>
      <c r="K7" s="42" t="s">
        <v>20</v>
      </c>
      <c r="L7" s="51">
        <v>1918</v>
      </c>
      <c r="M7" s="51">
        <v>1149</v>
      </c>
      <c r="N7" s="51">
        <f t="shared" si="4"/>
        <v>-769</v>
      </c>
      <c r="O7" s="5">
        <f t="shared" si="2"/>
        <v>-0.400938477580813</v>
      </c>
    </row>
    <row r="8" ht="17.25" customHeight="1" spans="1:15">
      <c r="A8" s="1" t="s">
        <v>21</v>
      </c>
      <c r="B8" s="51">
        <v>28617</v>
      </c>
      <c r="C8" s="51">
        <v>28569</v>
      </c>
      <c r="D8" s="51">
        <f t="shared" ref="D8:D22" si="5">C8-B8</f>
        <v>-48</v>
      </c>
      <c r="E8" s="5">
        <f t="shared" si="0"/>
        <v>-0.00167732466715589</v>
      </c>
      <c r="F8" s="1" t="s">
        <v>22</v>
      </c>
      <c r="G8" s="22">
        <v>14361</v>
      </c>
      <c r="H8" s="22">
        <v>12394</v>
      </c>
      <c r="I8" s="51">
        <f t="shared" si="3"/>
        <v>-1967</v>
      </c>
      <c r="J8" s="5">
        <f t="shared" si="1"/>
        <v>-0.136968177703503</v>
      </c>
      <c r="K8" s="42" t="s">
        <v>23</v>
      </c>
      <c r="L8" s="51">
        <v>602</v>
      </c>
      <c r="M8" s="51">
        <v>537</v>
      </c>
      <c r="N8" s="51">
        <f t="shared" si="4"/>
        <v>-65</v>
      </c>
      <c r="O8" s="5">
        <f t="shared" si="2"/>
        <v>-0.10797342192691</v>
      </c>
    </row>
    <row r="9" ht="17.25" customHeight="1" spans="1:15">
      <c r="A9" s="1" t="s">
        <v>24</v>
      </c>
      <c r="B9" s="51">
        <v>15314</v>
      </c>
      <c r="C9" s="51">
        <v>16630</v>
      </c>
      <c r="D9" s="51">
        <f t="shared" si="5"/>
        <v>1316</v>
      </c>
      <c r="E9" s="5">
        <f t="shared" si="0"/>
        <v>0.0859344390753559</v>
      </c>
      <c r="F9" s="1" t="s">
        <v>25</v>
      </c>
      <c r="G9" s="22">
        <v>85838</v>
      </c>
      <c r="H9" s="22">
        <v>87048</v>
      </c>
      <c r="I9" s="51">
        <f t="shared" si="3"/>
        <v>1210</v>
      </c>
      <c r="J9" s="5">
        <f t="shared" si="1"/>
        <v>0.0140963209767236</v>
      </c>
      <c r="K9" s="42" t="s">
        <v>26</v>
      </c>
      <c r="L9" s="51">
        <v>655</v>
      </c>
      <c r="M9" s="51">
        <v>698</v>
      </c>
      <c r="N9" s="51">
        <f t="shared" si="4"/>
        <v>43</v>
      </c>
      <c r="O9" s="5">
        <f t="shared" si="2"/>
        <v>0.0656488549618321</v>
      </c>
    </row>
    <row r="10" ht="17.25" customHeight="1" spans="1:15">
      <c r="A10" s="1" t="s">
        <v>27</v>
      </c>
      <c r="B10" s="51">
        <v>40</v>
      </c>
      <c r="C10" s="51"/>
      <c r="D10" s="51">
        <f t="shared" si="5"/>
        <v>-40</v>
      </c>
      <c r="E10" s="5">
        <f t="shared" si="0"/>
        <v>-1</v>
      </c>
      <c r="F10" s="1" t="s">
        <v>28</v>
      </c>
      <c r="G10" s="22">
        <v>3225</v>
      </c>
      <c r="H10" s="22">
        <v>3488</v>
      </c>
      <c r="I10" s="51">
        <f t="shared" si="3"/>
        <v>263</v>
      </c>
      <c r="J10" s="5">
        <f t="shared" si="1"/>
        <v>0.0815503875968992</v>
      </c>
      <c r="K10" s="42" t="s">
        <v>196</v>
      </c>
      <c r="L10" s="51">
        <v>111</v>
      </c>
      <c r="M10" s="51"/>
      <c r="N10" s="51">
        <f t="shared" si="4"/>
        <v>-111</v>
      </c>
      <c r="O10" s="5">
        <f t="shared" si="2"/>
        <v>-1</v>
      </c>
    </row>
    <row r="11" ht="17.25" customHeight="1" spans="1:15">
      <c r="A11" s="1" t="s">
        <v>30</v>
      </c>
      <c r="B11" s="51">
        <v>16748</v>
      </c>
      <c r="C11" s="51">
        <v>11206</v>
      </c>
      <c r="D11" s="51">
        <f t="shared" si="5"/>
        <v>-5542</v>
      </c>
      <c r="E11" s="5">
        <f t="shared" si="0"/>
        <v>-0.330905182708383</v>
      </c>
      <c r="F11" s="1" t="s">
        <v>31</v>
      </c>
      <c r="G11" s="22">
        <v>3277</v>
      </c>
      <c r="H11" s="22">
        <v>4808</v>
      </c>
      <c r="I11" s="51">
        <f t="shared" si="3"/>
        <v>1531</v>
      </c>
      <c r="J11" s="5">
        <f t="shared" si="1"/>
        <v>0.467195605736955</v>
      </c>
      <c r="K11" s="21" t="s">
        <v>32</v>
      </c>
      <c r="L11" s="85">
        <v>3593</v>
      </c>
      <c r="M11" s="85">
        <v>4374</v>
      </c>
      <c r="N11" s="52">
        <f t="shared" si="4"/>
        <v>781</v>
      </c>
      <c r="O11" s="18">
        <f t="shared" si="2"/>
        <v>0.217367102699694</v>
      </c>
    </row>
    <row r="12" ht="17.25" customHeight="1" spans="1:15">
      <c r="A12" s="1" t="s">
        <v>33</v>
      </c>
      <c r="B12" s="51">
        <v>2780</v>
      </c>
      <c r="C12" s="51">
        <v>2152</v>
      </c>
      <c r="D12" s="51">
        <f t="shared" si="5"/>
        <v>-628</v>
      </c>
      <c r="E12" s="5">
        <f t="shared" si="0"/>
        <v>-0.22589928057554</v>
      </c>
      <c r="F12" s="1" t="s">
        <v>34</v>
      </c>
      <c r="G12" s="22">
        <v>38199</v>
      </c>
      <c r="H12" s="22">
        <v>41302</v>
      </c>
      <c r="I12" s="51">
        <f t="shared" si="3"/>
        <v>3103</v>
      </c>
      <c r="J12" s="5">
        <f t="shared" si="1"/>
        <v>0.0812324929971989</v>
      </c>
      <c r="K12" s="21" t="s">
        <v>35</v>
      </c>
      <c r="L12" s="85">
        <v>14427</v>
      </c>
      <c r="M12" s="85">
        <v>1149</v>
      </c>
      <c r="N12" s="89">
        <f t="shared" si="4"/>
        <v>-13278</v>
      </c>
      <c r="O12" s="18">
        <f t="shared" si="2"/>
        <v>-0.920357662715741</v>
      </c>
    </row>
    <row r="13" ht="17.25" customHeight="1" spans="1:15">
      <c r="A13" s="1" t="s">
        <v>36</v>
      </c>
      <c r="B13" s="51">
        <v>2273</v>
      </c>
      <c r="C13" s="51">
        <v>2139</v>
      </c>
      <c r="D13" s="51">
        <f t="shared" si="5"/>
        <v>-134</v>
      </c>
      <c r="E13" s="5">
        <f t="shared" si="0"/>
        <v>-0.0589529256489221</v>
      </c>
      <c r="F13" s="1" t="s">
        <v>37</v>
      </c>
      <c r="G13" s="22">
        <v>27830</v>
      </c>
      <c r="H13" s="22">
        <v>27889</v>
      </c>
      <c r="I13" s="51">
        <f t="shared" si="3"/>
        <v>59</v>
      </c>
      <c r="J13" s="5">
        <f t="shared" si="1"/>
        <v>0.0021200143729788</v>
      </c>
      <c r="K13" s="21" t="s">
        <v>181</v>
      </c>
      <c r="L13" s="85"/>
      <c r="M13" s="85">
        <v>16</v>
      </c>
      <c r="N13" s="85"/>
      <c r="O13" s="18"/>
    </row>
    <row r="14" ht="17.25" customHeight="1" spans="1:15">
      <c r="A14" s="1" t="s">
        <v>39</v>
      </c>
      <c r="B14" s="51">
        <v>3904</v>
      </c>
      <c r="C14" s="51">
        <v>4056</v>
      </c>
      <c r="D14" s="51">
        <f t="shared" si="5"/>
        <v>152</v>
      </c>
      <c r="E14" s="5">
        <f t="shared" si="0"/>
        <v>0.0389344262295082</v>
      </c>
      <c r="F14" s="1" t="s">
        <v>40</v>
      </c>
      <c r="G14" s="22">
        <v>12490</v>
      </c>
      <c r="H14" s="22">
        <v>9458</v>
      </c>
      <c r="I14" s="51">
        <f t="shared" si="3"/>
        <v>-3032</v>
      </c>
      <c r="J14" s="5">
        <f t="shared" si="1"/>
        <v>-0.24275420336269</v>
      </c>
      <c r="K14" s="21" t="s">
        <v>182</v>
      </c>
      <c r="L14" s="85">
        <v>5000</v>
      </c>
      <c r="M14" s="85">
        <v>15000</v>
      </c>
      <c r="N14" s="85"/>
      <c r="O14" s="18"/>
    </row>
    <row r="15" ht="17.25" customHeight="1" spans="1:15">
      <c r="A15" s="1" t="s">
        <v>42</v>
      </c>
      <c r="B15" s="51">
        <v>2495</v>
      </c>
      <c r="C15" s="51">
        <v>1979</v>
      </c>
      <c r="D15" s="51">
        <f t="shared" si="5"/>
        <v>-516</v>
      </c>
      <c r="E15" s="5">
        <f t="shared" si="0"/>
        <v>-0.206813627254509</v>
      </c>
      <c r="F15" s="1" t="s">
        <v>43</v>
      </c>
      <c r="G15" s="22">
        <v>12013</v>
      </c>
      <c r="H15" s="22">
        <v>19060</v>
      </c>
      <c r="I15" s="51">
        <f t="shared" si="3"/>
        <v>7047</v>
      </c>
      <c r="J15" s="5">
        <f t="shared" si="1"/>
        <v>0.586614500957296</v>
      </c>
      <c r="K15" s="46" t="s">
        <v>41</v>
      </c>
      <c r="L15" s="85">
        <f>SUM(L12,L11,L5,L13,L14)</f>
        <v>112531</v>
      </c>
      <c r="M15" s="85">
        <f>SUM(M12,M11,M5,M13,M14)</f>
        <v>173057</v>
      </c>
      <c r="N15" s="85">
        <f>M15-L15</f>
        <v>60526</v>
      </c>
      <c r="O15" s="18">
        <f>N15/L15</f>
        <v>0.537860678390843</v>
      </c>
    </row>
    <row r="16" ht="17.25" customHeight="1" spans="1:15">
      <c r="A16" s="1" t="s">
        <v>45</v>
      </c>
      <c r="B16" s="51">
        <v>1567</v>
      </c>
      <c r="C16" s="51">
        <v>1238</v>
      </c>
      <c r="D16" s="51">
        <f t="shared" si="5"/>
        <v>-329</v>
      </c>
      <c r="E16" s="5">
        <f t="shared" si="0"/>
        <v>-0.209955328653478</v>
      </c>
      <c r="F16" s="1" t="s">
        <v>46</v>
      </c>
      <c r="G16" s="22">
        <v>52197</v>
      </c>
      <c r="H16" s="22">
        <v>47093</v>
      </c>
      <c r="I16" s="51">
        <f t="shared" si="3"/>
        <v>-5104</v>
      </c>
      <c r="J16" s="5">
        <f t="shared" si="1"/>
        <v>-0.097783397513267</v>
      </c>
      <c r="K16" s="9" t="s">
        <v>44</v>
      </c>
      <c r="L16" s="10"/>
      <c r="M16" s="10"/>
      <c r="N16" s="10"/>
      <c r="O16" s="11"/>
    </row>
    <row r="17" ht="17.25" customHeight="1" spans="1:15">
      <c r="A17" s="1" t="s">
        <v>47</v>
      </c>
      <c r="B17" s="51">
        <v>2960</v>
      </c>
      <c r="C17" s="51">
        <v>2430</v>
      </c>
      <c r="D17" s="51">
        <f t="shared" si="5"/>
        <v>-530</v>
      </c>
      <c r="E17" s="5">
        <f t="shared" si="0"/>
        <v>-0.179054054054054</v>
      </c>
      <c r="F17" s="1" t="s">
        <v>48</v>
      </c>
      <c r="G17" s="22">
        <v>16349</v>
      </c>
      <c r="H17" s="22">
        <v>8665</v>
      </c>
      <c r="I17" s="51">
        <f t="shared" si="3"/>
        <v>-7684</v>
      </c>
      <c r="J17" s="5">
        <f t="shared" si="1"/>
        <v>-0.469998165025384</v>
      </c>
      <c r="K17" s="15" t="s">
        <v>6</v>
      </c>
      <c r="L17" s="15" t="s">
        <v>195</v>
      </c>
      <c r="M17" s="15" t="s">
        <v>178</v>
      </c>
      <c r="N17" s="15" t="s">
        <v>11</v>
      </c>
      <c r="O17" s="15" t="s">
        <v>10</v>
      </c>
    </row>
    <row r="18" ht="17.25" customHeight="1" spans="1:15">
      <c r="A18" s="1" t="s">
        <v>50</v>
      </c>
      <c r="B18" s="51">
        <v>6979</v>
      </c>
      <c r="C18" s="51">
        <v>7705</v>
      </c>
      <c r="D18" s="51">
        <f t="shared" si="5"/>
        <v>726</v>
      </c>
      <c r="E18" s="5">
        <f t="shared" si="0"/>
        <v>0.104026364808712</v>
      </c>
      <c r="F18" s="1" t="s">
        <v>51</v>
      </c>
      <c r="G18" s="22">
        <v>13849</v>
      </c>
      <c r="H18" s="22">
        <v>14120</v>
      </c>
      <c r="I18" s="51">
        <f t="shared" si="3"/>
        <v>271</v>
      </c>
      <c r="J18" s="5">
        <f t="shared" si="1"/>
        <v>0.0195681998700267</v>
      </c>
      <c r="K18" s="46" t="s">
        <v>49</v>
      </c>
      <c r="L18" s="52">
        <f>SUM(L19:L30)</f>
        <v>69882</v>
      </c>
      <c r="M18" s="52">
        <f>SUM(M19:M30)</f>
        <v>88777</v>
      </c>
      <c r="N18" s="88">
        <f>SUM(N19:N30)</f>
        <v>18895</v>
      </c>
      <c r="O18" s="18">
        <f t="shared" ref="O18:O34" si="6">N18/L18</f>
        <v>0.270384362210584</v>
      </c>
    </row>
    <row r="19" ht="17.25" customHeight="1" spans="1:15">
      <c r="A19" s="1" t="s">
        <v>53</v>
      </c>
      <c r="B19" s="51">
        <v>1466</v>
      </c>
      <c r="C19" s="51">
        <v>1646</v>
      </c>
      <c r="D19" s="51">
        <f t="shared" si="5"/>
        <v>180</v>
      </c>
      <c r="E19" s="5">
        <f t="shared" si="0"/>
        <v>0.122783083219645</v>
      </c>
      <c r="F19" s="1" t="s">
        <v>54</v>
      </c>
      <c r="G19" s="22">
        <v>1931</v>
      </c>
      <c r="H19" s="22">
        <v>1194</v>
      </c>
      <c r="I19" s="51">
        <f t="shared" si="3"/>
        <v>-737</v>
      </c>
      <c r="J19" s="5">
        <f t="shared" si="1"/>
        <v>-0.381667529777317</v>
      </c>
      <c r="K19" s="42" t="s">
        <v>52</v>
      </c>
      <c r="L19" s="51">
        <v>805</v>
      </c>
      <c r="M19" s="51">
        <v>639</v>
      </c>
      <c r="N19" s="51">
        <f t="shared" ref="N19:N33" si="7">M19-L19</f>
        <v>-166</v>
      </c>
      <c r="O19" s="5">
        <f t="shared" si="6"/>
        <v>-0.206211180124224</v>
      </c>
    </row>
    <row r="20" ht="17.25" customHeight="1" spans="1:15">
      <c r="A20" s="1" t="s">
        <v>56</v>
      </c>
      <c r="B20" s="51">
        <v>140</v>
      </c>
      <c r="C20" s="51">
        <v>151</v>
      </c>
      <c r="D20" s="51">
        <f t="shared" si="5"/>
        <v>11</v>
      </c>
      <c r="E20" s="5">
        <f t="shared" si="0"/>
        <v>0.0785714285714286</v>
      </c>
      <c r="F20" s="1" t="s">
        <v>57</v>
      </c>
      <c r="G20" s="22">
        <v>37</v>
      </c>
      <c r="H20" s="22">
        <v>100</v>
      </c>
      <c r="I20" s="51">
        <f t="shared" si="3"/>
        <v>63</v>
      </c>
      <c r="J20" s="5">
        <f t="shared" si="1"/>
        <v>1.7027027027027</v>
      </c>
      <c r="K20" s="81" t="s">
        <v>55</v>
      </c>
      <c r="L20" s="51">
        <v>63327</v>
      </c>
      <c r="M20" s="51">
        <v>66802</v>
      </c>
      <c r="N20" s="51">
        <f t="shared" si="7"/>
        <v>3475</v>
      </c>
      <c r="O20" s="5">
        <f t="shared" si="6"/>
        <v>0.0548739084434759</v>
      </c>
    </row>
    <row r="21" ht="17.25" customHeight="1" spans="1:15">
      <c r="A21" s="1" t="s">
        <v>59</v>
      </c>
      <c r="B21" s="51">
        <v>773</v>
      </c>
      <c r="C21" s="51">
        <v>1438</v>
      </c>
      <c r="D21" s="51">
        <f t="shared" si="5"/>
        <v>665</v>
      </c>
      <c r="E21" s="5">
        <f t="shared" si="0"/>
        <v>0.860284605433376</v>
      </c>
      <c r="F21" s="1" t="s">
        <v>60</v>
      </c>
      <c r="G21" s="22">
        <v>1680</v>
      </c>
      <c r="H21" s="22">
        <v>1502</v>
      </c>
      <c r="I21" s="51">
        <f t="shared" si="3"/>
        <v>-178</v>
      </c>
      <c r="J21" s="5">
        <f t="shared" si="1"/>
        <v>-0.105952380952381</v>
      </c>
      <c r="K21" s="42" t="s">
        <v>58</v>
      </c>
      <c r="L21" s="51">
        <v>4</v>
      </c>
      <c r="M21" s="51">
        <v>396</v>
      </c>
      <c r="N21" s="51">
        <f t="shared" si="7"/>
        <v>392</v>
      </c>
      <c r="O21" s="5">
        <f t="shared" si="6"/>
        <v>98</v>
      </c>
    </row>
    <row r="22" ht="17.25" customHeight="1" spans="1:15">
      <c r="A22" s="1" t="s">
        <v>62</v>
      </c>
      <c r="B22" s="51">
        <v>4117</v>
      </c>
      <c r="C22" s="51">
        <v>6448</v>
      </c>
      <c r="D22" s="51">
        <f t="shared" si="5"/>
        <v>2331</v>
      </c>
      <c r="E22" s="5">
        <f t="shared" si="0"/>
        <v>0.56618897255283</v>
      </c>
      <c r="F22" s="1" t="s">
        <v>63</v>
      </c>
      <c r="G22" s="22">
        <v>2342</v>
      </c>
      <c r="H22" s="22">
        <v>2982</v>
      </c>
      <c r="I22" s="51">
        <f t="shared" si="3"/>
        <v>640</v>
      </c>
      <c r="J22" s="5">
        <f t="shared" si="1"/>
        <v>0.273270708795901</v>
      </c>
      <c r="K22" s="42" t="s">
        <v>61</v>
      </c>
      <c r="L22" s="51">
        <v>1576</v>
      </c>
      <c r="M22" s="51">
        <v>1480</v>
      </c>
      <c r="N22" s="51">
        <f t="shared" si="7"/>
        <v>-96</v>
      </c>
      <c r="O22" s="5">
        <f t="shared" si="6"/>
        <v>-0.0609137055837563</v>
      </c>
    </row>
    <row r="23" ht="17.25" customHeight="1" spans="1:15">
      <c r="A23" s="1" t="s">
        <v>65</v>
      </c>
      <c r="B23" s="51"/>
      <c r="C23" s="51">
        <v>4</v>
      </c>
      <c r="D23" s="51">
        <v>4</v>
      </c>
      <c r="E23" s="5"/>
      <c r="F23" s="1" t="s">
        <v>66</v>
      </c>
      <c r="G23" s="22">
        <v>957</v>
      </c>
      <c r="H23" s="22">
        <v>1207</v>
      </c>
      <c r="I23" s="51">
        <f t="shared" si="3"/>
        <v>250</v>
      </c>
      <c r="J23" s="5">
        <f t="shared" si="1"/>
        <v>0.26123301985371</v>
      </c>
      <c r="K23" s="42" t="s">
        <v>64</v>
      </c>
      <c r="L23" s="51">
        <v>590</v>
      </c>
      <c r="M23" s="51">
        <v>698</v>
      </c>
      <c r="N23" s="51">
        <f t="shared" si="7"/>
        <v>108</v>
      </c>
      <c r="O23" s="5">
        <f t="shared" si="6"/>
        <v>0.183050847457627</v>
      </c>
    </row>
    <row r="24" ht="17.25" customHeight="1" spans="1:15">
      <c r="A24" s="21" t="s">
        <v>68</v>
      </c>
      <c r="B24" s="52">
        <f>SUM(B25,B27:B32)</f>
        <v>32497</v>
      </c>
      <c r="C24" s="52">
        <f>SUM(C25,C27:C32)</f>
        <v>34909</v>
      </c>
      <c r="D24" s="52">
        <f>SUM(D25,D27:D32)</f>
        <v>2412</v>
      </c>
      <c r="E24" s="18">
        <f t="shared" si="0"/>
        <v>0.0742222358986983</v>
      </c>
      <c r="F24" s="1" t="s">
        <v>69</v>
      </c>
      <c r="G24" s="22"/>
      <c r="H24" s="22">
        <v>3563</v>
      </c>
      <c r="I24" s="51">
        <f t="shared" si="3"/>
        <v>3563</v>
      </c>
      <c r="J24" s="5"/>
      <c r="K24" s="42" t="s">
        <v>183</v>
      </c>
      <c r="L24" s="51">
        <v>112</v>
      </c>
      <c r="M24" s="51">
        <v>367</v>
      </c>
      <c r="N24" s="51">
        <f t="shared" si="7"/>
        <v>255</v>
      </c>
      <c r="O24" s="5">
        <f t="shared" si="6"/>
        <v>2.27678571428571</v>
      </c>
    </row>
    <row r="25" ht="17.25" customHeight="1" spans="1:15">
      <c r="A25" s="21" t="s">
        <v>71</v>
      </c>
      <c r="B25" s="51">
        <v>9665</v>
      </c>
      <c r="C25" s="51">
        <v>8383</v>
      </c>
      <c r="D25" s="51">
        <f t="shared" ref="D25:D40" si="8">C25-B25</f>
        <v>-1282</v>
      </c>
      <c r="E25" s="5">
        <f t="shared" si="0"/>
        <v>-0.132643559234351</v>
      </c>
      <c r="F25" s="1" t="s">
        <v>72</v>
      </c>
      <c r="G25" s="22">
        <v>13767</v>
      </c>
      <c r="H25" s="22">
        <v>15153</v>
      </c>
      <c r="I25" s="51">
        <f t="shared" si="3"/>
        <v>1386</v>
      </c>
      <c r="J25" s="5">
        <f t="shared" si="1"/>
        <v>0.100675528437568</v>
      </c>
      <c r="K25" s="81" t="s">
        <v>70</v>
      </c>
      <c r="L25" s="51">
        <v>1215</v>
      </c>
      <c r="M25" s="51">
        <v>700</v>
      </c>
      <c r="N25" s="51">
        <f t="shared" si="7"/>
        <v>-515</v>
      </c>
      <c r="O25" s="5">
        <f t="shared" si="6"/>
        <v>-0.423868312757202</v>
      </c>
    </row>
    <row r="26" ht="17.25" customHeight="1" spans="1:15">
      <c r="A26" s="1" t="s">
        <v>74</v>
      </c>
      <c r="B26" s="51">
        <v>2934</v>
      </c>
      <c r="C26" s="51">
        <v>2696</v>
      </c>
      <c r="D26" s="51">
        <f t="shared" si="8"/>
        <v>-238</v>
      </c>
      <c r="E26" s="5">
        <f t="shared" si="0"/>
        <v>-0.0811179277436946</v>
      </c>
      <c r="F26" s="1" t="s">
        <v>75</v>
      </c>
      <c r="G26" s="22">
        <v>250</v>
      </c>
      <c r="H26" s="22">
        <v>266</v>
      </c>
      <c r="I26" s="51">
        <f t="shared" si="3"/>
        <v>16</v>
      </c>
      <c r="J26" s="5">
        <f t="shared" si="1"/>
        <v>0.064</v>
      </c>
      <c r="K26" s="42" t="s">
        <v>73</v>
      </c>
      <c r="L26" s="51">
        <v>1585</v>
      </c>
      <c r="M26" s="51">
        <v>1931</v>
      </c>
      <c r="N26" s="51">
        <f t="shared" si="7"/>
        <v>346</v>
      </c>
      <c r="O26" s="5">
        <f t="shared" si="6"/>
        <v>0.218296529968454</v>
      </c>
    </row>
    <row r="27" ht="17.25" customHeight="1" spans="1:15">
      <c r="A27" s="1" t="s">
        <v>77</v>
      </c>
      <c r="B27" s="51">
        <v>3427</v>
      </c>
      <c r="C27" s="51">
        <v>1134</v>
      </c>
      <c r="D27" s="51">
        <f t="shared" si="8"/>
        <v>-2293</v>
      </c>
      <c r="E27" s="5">
        <f t="shared" si="0"/>
        <v>-0.669098336737671</v>
      </c>
      <c r="F27" s="26" t="s">
        <v>78</v>
      </c>
      <c r="G27" s="69">
        <f>SUM(G28:G29)</f>
        <v>6419</v>
      </c>
      <c r="H27" s="69">
        <f>SUM(H28:H29)</f>
        <v>7953</v>
      </c>
      <c r="I27" s="52">
        <f t="shared" si="3"/>
        <v>1534</v>
      </c>
      <c r="J27" s="18">
        <f t="shared" si="1"/>
        <v>0.238978033961676</v>
      </c>
      <c r="K27" s="42" t="s">
        <v>184</v>
      </c>
      <c r="L27" s="51"/>
      <c r="M27" s="51">
        <v>15000</v>
      </c>
      <c r="N27" s="51">
        <f t="shared" si="7"/>
        <v>15000</v>
      </c>
      <c r="O27" s="5"/>
    </row>
    <row r="28" ht="17.25" customHeight="1" spans="1:15">
      <c r="A28" s="1" t="s">
        <v>80</v>
      </c>
      <c r="B28" s="51">
        <v>4483</v>
      </c>
      <c r="C28" s="51">
        <v>3656</v>
      </c>
      <c r="D28" s="51">
        <f t="shared" si="8"/>
        <v>-827</v>
      </c>
      <c r="E28" s="5">
        <f t="shared" si="0"/>
        <v>-0.184474682132501</v>
      </c>
      <c r="F28" s="1" t="s">
        <v>81</v>
      </c>
      <c r="G28" s="22">
        <v>2647</v>
      </c>
      <c r="H28" s="22">
        <v>2578</v>
      </c>
      <c r="I28" s="51">
        <f t="shared" si="3"/>
        <v>-69</v>
      </c>
      <c r="J28" s="5">
        <f t="shared" si="1"/>
        <v>-0.0260672459387986</v>
      </c>
      <c r="K28" s="42" t="s">
        <v>185</v>
      </c>
      <c r="L28" s="51">
        <v>111</v>
      </c>
      <c r="M28" s="51"/>
      <c r="N28" s="51">
        <f t="shared" si="7"/>
        <v>-111</v>
      </c>
      <c r="O28" s="5">
        <f t="shared" si="6"/>
        <v>-1</v>
      </c>
    </row>
    <row r="29" ht="17.25" customHeight="1" spans="1:15">
      <c r="A29" s="1" t="s">
        <v>83</v>
      </c>
      <c r="B29" s="51">
        <v>184</v>
      </c>
      <c r="C29" s="51">
        <v>5400</v>
      </c>
      <c r="D29" s="51">
        <f t="shared" si="8"/>
        <v>5216</v>
      </c>
      <c r="E29" s="5">
        <f t="shared" si="0"/>
        <v>28.3478260869565</v>
      </c>
      <c r="F29" s="1" t="s">
        <v>84</v>
      </c>
      <c r="G29" s="22">
        <v>3772</v>
      </c>
      <c r="H29" s="22">
        <v>5375</v>
      </c>
      <c r="I29" s="51">
        <f t="shared" si="3"/>
        <v>1603</v>
      </c>
      <c r="J29" s="5">
        <f t="shared" si="1"/>
        <v>0.424973488865323</v>
      </c>
      <c r="K29" s="42" t="s">
        <v>197</v>
      </c>
      <c r="L29" s="51">
        <v>551</v>
      </c>
      <c r="M29" s="51">
        <v>747</v>
      </c>
      <c r="N29" s="51">
        <f t="shared" si="7"/>
        <v>196</v>
      </c>
      <c r="O29" s="5">
        <f t="shared" si="6"/>
        <v>0.355716878402904</v>
      </c>
    </row>
    <row r="30" ht="17.25" customHeight="1" spans="1:15">
      <c r="A30" s="1" t="s">
        <v>86</v>
      </c>
      <c r="B30" s="51">
        <v>1216</v>
      </c>
      <c r="C30" s="51">
        <v>1459</v>
      </c>
      <c r="D30" s="51">
        <f t="shared" si="8"/>
        <v>243</v>
      </c>
      <c r="E30" s="5">
        <f t="shared" si="0"/>
        <v>0.199835526315789</v>
      </c>
      <c r="F30" s="26" t="s">
        <v>87</v>
      </c>
      <c r="G30" s="19">
        <v>49705</v>
      </c>
      <c r="H30" s="19">
        <v>7028</v>
      </c>
      <c r="I30" s="88">
        <f t="shared" si="3"/>
        <v>-42677</v>
      </c>
      <c r="J30" s="103">
        <f t="shared" si="1"/>
        <v>-0.858605774066995</v>
      </c>
      <c r="K30" s="42" t="s">
        <v>198</v>
      </c>
      <c r="L30" s="51">
        <v>6</v>
      </c>
      <c r="M30" s="51">
        <v>17</v>
      </c>
      <c r="N30" s="51">
        <f t="shared" si="7"/>
        <v>11</v>
      </c>
      <c r="O30" s="5">
        <f t="shared" si="6"/>
        <v>1.83333333333333</v>
      </c>
    </row>
    <row r="31" ht="17.25" customHeight="1" spans="1:15">
      <c r="A31" s="1" t="s">
        <v>89</v>
      </c>
      <c r="B31" s="51">
        <v>45</v>
      </c>
      <c r="C31" s="51">
        <v>50</v>
      </c>
      <c r="D31" s="51">
        <f t="shared" si="8"/>
        <v>5</v>
      </c>
      <c r="E31" s="5">
        <f t="shared" si="0"/>
        <v>0.111111111111111</v>
      </c>
      <c r="F31" s="26" t="s">
        <v>90</v>
      </c>
      <c r="G31" s="19">
        <v>10370</v>
      </c>
      <c r="H31" s="19">
        <v>2614</v>
      </c>
      <c r="I31" s="52">
        <f t="shared" si="3"/>
        <v>-7756</v>
      </c>
      <c r="J31" s="97">
        <f t="shared" si="1"/>
        <v>-0.747926711668274</v>
      </c>
      <c r="K31" s="16" t="s">
        <v>82</v>
      </c>
      <c r="L31" s="51">
        <v>41478</v>
      </c>
      <c r="M31" s="51">
        <v>69628</v>
      </c>
      <c r="N31" s="51">
        <f t="shared" si="7"/>
        <v>28150</v>
      </c>
      <c r="O31" s="5">
        <f t="shared" si="6"/>
        <v>0.678673031486571</v>
      </c>
    </row>
    <row r="32" ht="17.25" customHeight="1" spans="1:15">
      <c r="A32" s="1" t="s">
        <v>92</v>
      </c>
      <c r="B32" s="51">
        <v>13477</v>
      </c>
      <c r="C32" s="51">
        <v>14827</v>
      </c>
      <c r="D32" s="51">
        <f t="shared" si="8"/>
        <v>1350</v>
      </c>
      <c r="E32" s="5">
        <f t="shared" si="0"/>
        <v>0.100170661126363</v>
      </c>
      <c r="F32" s="26" t="s">
        <v>93</v>
      </c>
      <c r="G32" s="19">
        <v>400</v>
      </c>
      <c r="H32" s="19">
        <v>1065</v>
      </c>
      <c r="I32" s="52"/>
      <c r="J32" s="97"/>
      <c r="K32" s="16" t="s">
        <v>85</v>
      </c>
      <c r="L32" s="51">
        <v>22</v>
      </c>
      <c r="M32" s="51"/>
      <c r="N32" s="51">
        <f t="shared" si="7"/>
        <v>-22</v>
      </c>
      <c r="O32" s="5"/>
    </row>
    <row r="33" ht="17.25" customHeight="1" spans="1:15">
      <c r="A33" s="28" t="s">
        <v>94</v>
      </c>
      <c r="B33" s="52">
        <f>SUM(B34:B36)</f>
        <v>138666</v>
      </c>
      <c r="C33" s="52">
        <f>SUM(C34:C36)</f>
        <v>140209</v>
      </c>
      <c r="D33" s="88">
        <f t="shared" si="8"/>
        <v>1543</v>
      </c>
      <c r="E33" s="18">
        <f t="shared" si="0"/>
        <v>0.0111274573435449</v>
      </c>
      <c r="F33" s="21" t="s">
        <v>199</v>
      </c>
      <c r="G33" s="19">
        <v>1890</v>
      </c>
      <c r="H33" s="19">
        <v>4510</v>
      </c>
      <c r="I33" s="88">
        <f t="shared" si="3"/>
        <v>2620</v>
      </c>
      <c r="J33" s="18">
        <f t="shared" si="1"/>
        <v>1.38624338624339</v>
      </c>
      <c r="K33" s="21" t="s">
        <v>88</v>
      </c>
      <c r="L33" s="41">
        <v>1149</v>
      </c>
      <c r="M33" s="41">
        <v>14652</v>
      </c>
      <c r="N33" s="105">
        <f t="shared" si="7"/>
        <v>13503</v>
      </c>
      <c r="O33" s="18">
        <f t="shared" si="6"/>
        <v>11.7519582245431</v>
      </c>
    </row>
    <row r="34" ht="17.25" customHeight="1" spans="1:15">
      <c r="A34" s="29" t="s">
        <v>96</v>
      </c>
      <c r="B34" s="51">
        <v>10690</v>
      </c>
      <c r="C34" s="51">
        <v>10690</v>
      </c>
      <c r="D34" s="51">
        <f t="shared" si="8"/>
        <v>0</v>
      </c>
      <c r="E34" s="5">
        <f t="shared" si="0"/>
        <v>0</v>
      </c>
      <c r="F34" s="1" t="s">
        <v>100</v>
      </c>
      <c r="G34" s="22">
        <v>1890</v>
      </c>
      <c r="H34" s="22">
        <v>4510</v>
      </c>
      <c r="I34" s="51">
        <f t="shared" si="3"/>
        <v>2620</v>
      </c>
      <c r="J34" s="5">
        <f t="shared" si="1"/>
        <v>1.38624338624339</v>
      </c>
      <c r="K34" s="21" t="s">
        <v>91</v>
      </c>
      <c r="L34" s="52">
        <f>SUM(L18,L31:L33)</f>
        <v>112531</v>
      </c>
      <c r="M34" s="52">
        <f>SUM(M18,M31:M33)</f>
        <v>173057</v>
      </c>
      <c r="N34" s="52">
        <f>SUM(N18,N31:N33)</f>
        <v>60526</v>
      </c>
      <c r="O34" s="18">
        <f t="shared" si="6"/>
        <v>0.537860678390843</v>
      </c>
    </row>
    <row r="35" ht="17.25" customHeight="1" spans="1:15">
      <c r="A35" s="29" t="s">
        <v>99</v>
      </c>
      <c r="B35" s="51">
        <v>70091</v>
      </c>
      <c r="C35" s="51">
        <v>104397</v>
      </c>
      <c r="D35" s="51">
        <f t="shared" si="8"/>
        <v>34306</v>
      </c>
      <c r="E35" s="5">
        <f t="shared" si="0"/>
        <v>0.48944943002668</v>
      </c>
      <c r="F35" s="21" t="s">
        <v>103</v>
      </c>
      <c r="G35" s="52">
        <f>SUM(G5,G27,G30:G33)</f>
        <v>398738</v>
      </c>
      <c r="H35" s="52">
        <f>SUM(H5,H27,H30:H33)</f>
        <v>356184</v>
      </c>
      <c r="I35" s="88">
        <f t="shared" si="3"/>
        <v>-42554</v>
      </c>
      <c r="J35" s="18">
        <f t="shared" si="1"/>
        <v>-0.106721706985539</v>
      </c>
      <c r="K35" s="93" t="s">
        <v>98</v>
      </c>
      <c r="L35" s="94"/>
      <c r="M35" s="94"/>
      <c r="N35" s="94"/>
      <c r="O35" s="95"/>
    </row>
    <row r="36" ht="17.25" customHeight="1" spans="1:15">
      <c r="A36" s="29" t="s">
        <v>102</v>
      </c>
      <c r="B36" s="51">
        <v>57885</v>
      </c>
      <c r="C36" s="51">
        <v>25122</v>
      </c>
      <c r="D36" s="51">
        <f t="shared" si="8"/>
        <v>-32763</v>
      </c>
      <c r="E36" s="5">
        <f t="shared" si="0"/>
        <v>-0.566001554806945</v>
      </c>
      <c r="F36" s="30" t="s">
        <v>106</v>
      </c>
      <c r="G36" s="31"/>
      <c r="H36" s="31"/>
      <c r="I36" s="31"/>
      <c r="J36" s="48"/>
      <c r="K36" s="15" t="s">
        <v>6</v>
      </c>
      <c r="L36" s="15" t="s">
        <v>200</v>
      </c>
      <c r="M36" s="15" t="s">
        <v>190</v>
      </c>
      <c r="N36" s="15" t="s">
        <v>101</v>
      </c>
      <c r="O36" s="15" t="s">
        <v>10</v>
      </c>
    </row>
    <row r="37" ht="17.25" customHeight="1" spans="1:15">
      <c r="A37" s="33" t="s">
        <v>105</v>
      </c>
      <c r="B37" s="52">
        <v>16495</v>
      </c>
      <c r="C37" s="52">
        <v>1890</v>
      </c>
      <c r="D37" s="88">
        <f t="shared" si="8"/>
        <v>-14605</v>
      </c>
      <c r="E37" s="18">
        <f t="shared" si="0"/>
        <v>-0.885419824189148</v>
      </c>
      <c r="F37" s="15" t="s">
        <v>6</v>
      </c>
      <c r="G37" s="15" t="s">
        <v>195</v>
      </c>
      <c r="H37" s="15" t="s">
        <v>178</v>
      </c>
      <c r="I37" s="15" t="s">
        <v>9</v>
      </c>
      <c r="J37" s="15" t="s">
        <v>10</v>
      </c>
      <c r="K37" s="21" t="s">
        <v>104</v>
      </c>
      <c r="L37" s="45">
        <v>157</v>
      </c>
      <c r="M37" s="45">
        <v>163</v>
      </c>
      <c r="N37" s="52">
        <f>M37-L37</f>
        <v>6</v>
      </c>
      <c r="O37" s="18">
        <f>N37/L37</f>
        <v>0.0382165605095541</v>
      </c>
    </row>
    <row r="38" ht="17.25" customHeight="1" spans="1:15">
      <c r="A38" s="33" t="s">
        <v>108</v>
      </c>
      <c r="B38" s="52">
        <v>60972</v>
      </c>
      <c r="C38" s="52">
        <v>20274</v>
      </c>
      <c r="D38" s="88">
        <f t="shared" si="8"/>
        <v>-40698</v>
      </c>
      <c r="E38" s="18">
        <f t="shared" si="0"/>
        <v>-0.667486715213541</v>
      </c>
      <c r="F38" s="21" t="s">
        <v>12</v>
      </c>
      <c r="G38" s="52">
        <f>B5</f>
        <v>122670</v>
      </c>
      <c r="H38" s="52">
        <f>C5</f>
        <v>122700</v>
      </c>
      <c r="I38" s="52">
        <f>H38-G38</f>
        <v>30</v>
      </c>
      <c r="J38" s="18">
        <f t="shared" ref="J38:J45" si="9">I38/G38</f>
        <v>0.000244558571777941</v>
      </c>
      <c r="K38" s="21" t="s">
        <v>109</v>
      </c>
      <c r="L38" s="45">
        <v>53</v>
      </c>
      <c r="M38" s="45">
        <v>63</v>
      </c>
      <c r="N38" s="52">
        <f>M38-L38</f>
        <v>10</v>
      </c>
      <c r="O38" s="18">
        <f>N38/L38</f>
        <v>0.188679245283019</v>
      </c>
    </row>
    <row r="39" ht="17.25" customHeight="1" spans="1:15">
      <c r="A39" s="87" t="s">
        <v>110</v>
      </c>
      <c r="B39" s="52">
        <v>10230</v>
      </c>
      <c r="C39" s="52"/>
      <c r="D39" s="52"/>
      <c r="E39" s="18">
        <f t="shared" si="0"/>
        <v>0</v>
      </c>
      <c r="F39" s="34" t="s">
        <v>113</v>
      </c>
      <c r="G39" s="52">
        <f>SUM(G40:G44)</f>
        <v>79443.5</v>
      </c>
      <c r="H39" s="52">
        <f>SUM(H40:H44)</f>
        <v>71269</v>
      </c>
      <c r="I39" s="52">
        <f>SUM(I40:I44)</f>
        <v>-8174.5</v>
      </c>
      <c r="J39" s="18">
        <f t="shared" si="9"/>
        <v>-0.102897027447179</v>
      </c>
      <c r="K39" s="21" t="s">
        <v>114</v>
      </c>
      <c r="L39" s="45">
        <v>104</v>
      </c>
      <c r="M39" s="45">
        <v>100</v>
      </c>
      <c r="N39" s="52">
        <f>M39-L39</f>
        <v>-4</v>
      </c>
      <c r="O39" s="18">
        <f>N39/L39</f>
        <v>-0.0384615384615385</v>
      </c>
    </row>
    <row r="40" ht="17.25" customHeight="1" spans="1:15">
      <c r="A40" s="33" t="s">
        <v>112</v>
      </c>
      <c r="B40" s="52">
        <v>49705</v>
      </c>
      <c r="C40" s="52">
        <v>71111</v>
      </c>
      <c r="D40" s="52">
        <f t="shared" si="8"/>
        <v>21406</v>
      </c>
      <c r="E40" s="18">
        <f t="shared" si="0"/>
        <v>0.430660899305905</v>
      </c>
      <c r="F40" s="35" t="s">
        <v>115</v>
      </c>
      <c r="G40" s="51">
        <f>B7+B10</f>
        <v>43971</v>
      </c>
      <c r="H40" s="51">
        <f>C7+C10</f>
        <v>45199</v>
      </c>
      <c r="I40" s="51">
        <f>H40-G40</f>
        <v>1228</v>
      </c>
      <c r="J40" s="5">
        <f t="shared" si="9"/>
        <v>0.0279274976689181</v>
      </c>
      <c r="K40" s="93" t="s">
        <v>116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117</v>
      </c>
      <c r="G41" s="51">
        <f>B11*1.5-1</f>
        <v>25121</v>
      </c>
      <c r="H41" s="51">
        <f>C11*1.5</f>
        <v>16809</v>
      </c>
      <c r="I41" s="51">
        <f>H41-G41</f>
        <v>-8312</v>
      </c>
      <c r="J41" s="5">
        <f t="shared" si="9"/>
        <v>-0.33087854782851</v>
      </c>
      <c r="K41" s="15" t="s">
        <v>6</v>
      </c>
      <c r="L41" s="15" t="s">
        <v>200</v>
      </c>
      <c r="M41" s="15" t="s">
        <v>190</v>
      </c>
      <c r="N41" s="15" t="s">
        <v>101</v>
      </c>
      <c r="O41" s="15" t="s">
        <v>10</v>
      </c>
    </row>
    <row r="42" ht="17.25" customHeight="1" spans="1:15">
      <c r="A42" s="33"/>
      <c r="B42" s="52"/>
      <c r="C42" s="52"/>
      <c r="D42" s="52"/>
      <c r="E42" s="18"/>
      <c r="F42" s="35" t="s">
        <v>118</v>
      </c>
      <c r="G42" s="51">
        <f>B12*1.5+0.5</f>
        <v>4170.5</v>
      </c>
      <c r="H42" s="51">
        <f>C12*1.5</f>
        <v>3228</v>
      </c>
      <c r="I42" s="51">
        <f>H42-G42</f>
        <v>-942.5</v>
      </c>
      <c r="J42" s="5">
        <f t="shared" si="9"/>
        <v>-0.225992087279703</v>
      </c>
      <c r="K42" s="21" t="s">
        <v>119</v>
      </c>
      <c r="L42" s="45">
        <v>42768</v>
      </c>
      <c r="M42" s="45">
        <v>47435</v>
      </c>
      <c r="N42" s="88">
        <f>M42-L42</f>
        <v>4667</v>
      </c>
      <c r="O42" s="18">
        <f>N42/L42</f>
        <v>0.109123643845866</v>
      </c>
    </row>
    <row r="43" ht="18" customHeight="1" spans="1:15">
      <c r="A43" s="33"/>
      <c r="B43" s="52"/>
      <c r="C43" s="52"/>
      <c r="D43" s="52"/>
      <c r="E43" s="18"/>
      <c r="F43" s="35" t="s">
        <v>120</v>
      </c>
      <c r="G43" s="51">
        <v>74</v>
      </c>
      <c r="H43" s="51">
        <v>62</v>
      </c>
      <c r="I43" s="51">
        <f>H43-G43</f>
        <v>-12</v>
      </c>
      <c r="J43" s="5">
        <f t="shared" si="9"/>
        <v>-0.162162162162162</v>
      </c>
      <c r="K43" s="21" t="s">
        <v>121</v>
      </c>
      <c r="L43" s="45">
        <v>37807</v>
      </c>
      <c r="M43" s="45">
        <v>40192</v>
      </c>
      <c r="N43" s="88">
        <f>M43-L43</f>
        <v>2385</v>
      </c>
      <c r="O43" s="18">
        <f>N43/L43</f>
        <v>0.0630835559552464</v>
      </c>
    </row>
    <row r="44" ht="18" customHeight="1" spans="1:15">
      <c r="A44" s="1"/>
      <c r="B44" s="51"/>
      <c r="C44" s="51"/>
      <c r="D44" s="51"/>
      <c r="E44" s="18"/>
      <c r="F44" s="102" t="s">
        <v>122</v>
      </c>
      <c r="G44" s="51">
        <v>6107</v>
      </c>
      <c r="H44" s="51">
        <v>5971</v>
      </c>
      <c r="I44" s="51">
        <f>H44-G44</f>
        <v>-136</v>
      </c>
      <c r="J44" s="5">
        <f t="shared" si="9"/>
        <v>-0.0222695267725561</v>
      </c>
      <c r="K44" s="21" t="s">
        <v>123</v>
      </c>
      <c r="L44" s="45">
        <f>L42-L43</f>
        <v>4961</v>
      </c>
      <c r="M44" s="45">
        <f>M42-M43</f>
        <v>7243</v>
      </c>
      <c r="N44" s="52">
        <f>M44-L44</f>
        <v>2282</v>
      </c>
      <c r="O44" s="18">
        <f>N44/L44</f>
        <v>0.459987905664181</v>
      </c>
    </row>
    <row r="45" ht="21" customHeight="1" spans="1:15">
      <c r="A45" s="28" t="s">
        <v>124</v>
      </c>
      <c r="B45" s="52">
        <f>SUM(B5,B33,B37:B40)</f>
        <v>398738</v>
      </c>
      <c r="C45" s="52">
        <f>SUM(C5,C33,C37:C40)</f>
        <v>356184</v>
      </c>
      <c r="D45" s="88">
        <f t="shared" ref="D45" si="10">C45-B45</f>
        <v>-42554</v>
      </c>
      <c r="E45" s="18">
        <f>D45/B45</f>
        <v>-0.106721706985539</v>
      </c>
      <c r="F45" s="36" t="s">
        <v>125</v>
      </c>
      <c r="G45" s="52">
        <f>SUM(G38:G39)</f>
        <v>202113.5</v>
      </c>
      <c r="H45" s="52">
        <f>SUM(H38:H39)</f>
        <v>193969</v>
      </c>
      <c r="I45" s="85">
        <f>SUM(I38:I39)</f>
        <v>-8144.5</v>
      </c>
      <c r="J45" s="18">
        <f t="shared" si="9"/>
        <v>-0.0402966649926898</v>
      </c>
      <c r="K45" s="21" t="s">
        <v>126</v>
      </c>
      <c r="L45" s="45">
        <v>40644</v>
      </c>
      <c r="M45" s="45">
        <v>47887</v>
      </c>
      <c r="N45" s="88">
        <f>M45-L45</f>
        <v>7243</v>
      </c>
      <c r="O45" s="18">
        <f>N45/L45</f>
        <v>0.178205885247515</v>
      </c>
    </row>
    <row r="46" ht="15.95" customHeight="1" spans="1:1">
      <c r="A46" s="106" t="s">
        <v>201</v>
      </c>
    </row>
    <row r="47" ht="15.95" customHeight="1" spans="1:7">
      <c r="A47" s="37"/>
      <c r="G47" s="38"/>
    </row>
  </sheetData>
  <mergeCells count="8">
    <mergeCell ref="A1:O1"/>
    <mergeCell ref="A3:E3"/>
    <mergeCell ref="F3:J3"/>
    <mergeCell ref="K3:O3"/>
    <mergeCell ref="K16:O16"/>
    <mergeCell ref="K35:O35"/>
    <mergeCell ref="F36:J36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4" workbookViewId="0">
      <selection activeCell="L15" sqref="L15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202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12</v>
      </c>
      <c r="B5" s="52">
        <f>SUM(B6,B24)</f>
        <v>126900</v>
      </c>
      <c r="C5" s="52">
        <f>SUM(C6,C24)</f>
        <v>122700</v>
      </c>
      <c r="D5" s="52">
        <f>SUM(D6,D24)</f>
        <v>122700</v>
      </c>
      <c r="E5" s="18">
        <f t="shared" ref="E5:E32" si="0">D5/C5</f>
        <v>1</v>
      </c>
      <c r="F5" s="21" t="s">
        <v>13</v>
      </c>
      <c r="G5" s="19">
        <f>SUM(G6:G26)</f>
        <v>243042</v>
      </c>
      <c r="H5" s="19">
        <f>SUM(H6:H26)</f>
        <v>337524</v>
      </c>
      <c r="I5" s="19">
        <f>SUM(I6:I26)</f>
        <v>333014</v>
      </c>
      <c r="J5" s="18">
        <f t="shared" ref="J5:J26" si="1">I5/H5</f>
        <v>0.986637987224612</v>
      </c>
      <c r="K5" s="16" t="s">
        <v>133</v>
      </c>
      <c r="L5" s="19">
        <f>SUM(L6:L10)</f>
        <v>95200</v>
      </c>
      <c r="M5" s="19">
        <f>SUM(M6:M10)</f>
        <v>148600</v>
      </c>
      <c r="N5" s="19">
        <f>SUM(N6:N10)</f>
        <v>152518</v>
      </c>
      <c r="O5" s="18">
        <f t="shared" ref="O5:O10" si="2">N5/M5</f>
        <v>1.02636608344549</v>
      </c>
    </row>
    <row r="6" ht="16.5" customHeight="1" spans="1:15">
      <c r="A6" s="21" t="s">
        <v>15</v>
      </c>
      <c r="B6" s="52">
        <f>SUM(B7,B10:B22)</f>
        <v>94800</v>
      </c>
      <c r="C6" s="52">
        <f>SUM(C7,C10:C22)</f>
        <v>89100</v>
      </c>
      <c r="D6" s="52">
        <f>SUM(D7,D10:D23)</f>
        <v>87791</v>
      </c>
      <c r="E6" s="18">
        <f t="shared" si="0"/>
        <v>0.985308641975309</v>
      </c>
      <c r="F6" s="1" t="s">
        <v>16</v>
      </c>
      <c r="G6" s="51">
        <v>34688</v>
      </c>
      <c r="H6" s="22">
        <v>31814</v>
      </c>
      <c r="I6" s="22">
        <v>31379</v>
      </c>
      <c r="J6" s="60">
        <f t="shared" si="1"/>
        <v>0.986326774376061</v>
      </c>
      <c r="K6" s="42" t="s">
        <v>134</v>
      </c>
      <c r="L6" s="22">
        <v>92350</v>
      </c>
      <c r="M6" s="22">
        <v>146650</v>
      </c>
      <c r="N6" s="51">
        <v>150134</v>
      </c>
      <c r="O6" s="5">
        <f t="shared" si="2"/>
        <v>1.02375724514149</v>
      </c>
    </row>
    <row r="7" ht="16.5" customHeight="1" spans="1:15">
      <c r="A7" s="1" t="s">
        <v>18</v>
      </c>
      <c r="B7" s="51">
        <f>SUM(B8:B9)</f>
        <v>48250</v>
      </c>
      <c r="C7" s="51">
        <f>SUM(C8:C9)</f>
        <v>43750</v>
      </c>
      <c r="D7" s="51">
        <f>SUM(D8:D9)</f>
        <v>45199</v>
      </c>
      <c r="E7" s="5">
        <f t="shared" si="0"/>
        <v>1.03312</v>
      </c>
      <c r="F7" s="1" t="s">
        <v>19</v>
      </c>
      <c r="G7" s="51">
        <v>305</v>
      </c>
      <c r="H7" s="22">
        <v>343</v>
      </c>
      <c r="I7" s="22">
        <v>343</v>
      </c>
      <c r="J7" s="60">
        <f t="shared" si="1"/>
        <v>1</v>
      </c>
      <c r="K7" s="42" t="s">
        <v>135</v>
      </c>
      <c r="L7" s="22">
        <v>1500</v>
      </c>
      <c r="M7" s="22">
        <v>700</v>
      </c>
      <c r="N7" s="51">
        <v>1149</v>
      </c>
      <c r="O7" s="5">
        <f t="shared" si="2"/>
        <v>1.64142857142857</v>
      </c>
    </row>
    <row r="8" ht="16.5" customHeight="1" spans="1:15">
      <c r="A8" s="1" t="s">
        <v>136</v>
      </c>
      <c r="B8" s="51">
        <v>31600</v>
      </c>
      <c r="C8" s="51">
        <v>27100</v>
      </c>
      <c r="D8" s="51">
        <v>28569</v>
      </c>
      <c r="E8" s="5">
        <f t="shared" si="0"/>
        <v>1.05420664206642</v>
      </c>
      <c r="F8" s="1" t="s">
        <v>22</v>
      </c>
      <c r="G8" s="51">
        <v>10629</v>
      </c>
      <c r="H8" s="22">
        <v>12398</v>
      </c>
      <c r="I8" s="22">
        <v>12394</v>
      </c>
      <c r="J8" s="60">
        <f t="shared" si="1"/>
        <v>0.999677367317309</v>
      </c>
      <c r="K8" s="42" t="s">
        <v>137</v>
      </c>
      <c r="L8" s="22">
        <v>700</v>
      </c>
      <c r="M8" s="22">
        <v>700</v>
      </c>
      <c r="N8" s="51">
        <v>698</v>
      </c>
      <c r="O8" s="5">
        <f t="shared" si="2"/>
        <v>0.997142857142857</v>
      </c>
    </row>
    <row r="9" ht="16.5" customHeight="1" spans="1:15">
      <c r="A9" s="1" t="s">
        <v>138</v>
      </c>
      <c r="B9" s="51">
        <v>16650</v>
      </c>
      <c r="C9" s="51">
        <v>16650</v>
      </c>
      <c r="D9" s="51">
        <v>16630</v>
      </c>
      <c r="E9" s="5">
        <f t="shared" si="0"/>
        <v>0.998798798798799</v>
      </c>
      <c r="F9" s="1" t="s">
        <v>25</v>
      </c>
      <c r="G9" s="51">
        <v>72009</v>
      </c>
      <c r="H9" s="22">
        <v>87178</v>
      </c>
      <c r="I9" s="22">
        <v>87048</v>
      </c>
      <c r="J9" s="60">
        <f t="shared" si="1"/>
        <v>0.998508798091262</v>
      </c>
      <c r="K9" s="42" t="s">
        <v>139</v>
      </c>
      <c r="L9" s="22">
        <v>250</v>
      </c>
      <c r="M9" s="22">
        <v>250</v>
      </c>
      <c r="N9" s="51">
        <v>240</v>
      </c>
      <c r="O9" s="5">
        <f t="shared" si="2"/>
        <v>0.96</v>
      </c>
    </row>
    <row r="10" ht="16.5" customHeight="1" spans="1:15">
      <c r="A10" s="1" t="s">
        <v>27</v>
      </c>
      <c r="B10" s="99"/>
      <c r="C10" s="51"/>
      <c r="D10" s="51"/>
      <c r="E10" s="5"/>
      <c r="F10" s="1" t="s">
        <v>28</v>
      </c>
      <c r="G10" s="51">
        <v>2692</v>
      </c>
      <c r="H10" s="51">
        <v>3722</v>
      </c>
      <c r="I10" s="22">
        <v>3488</v>
      </c>
      <c r="J10" s="60">
        <f t="shared" si="1"/>
        <v>0.937130574959699</v>
      </c>
      <c r="K10" s="42" t="s">
        <v>140</v>
      </c>
      <c r="L10" s="22">
        <v>400</v>
      </c>
      <c r="M10" s="22">
        <v>300</v>
      </c>
      <c r="N10" s="51">
        <v>297</v>
      </c>
      <c r="O10" s="5">
        <f t="shared" si="2"/>
        <v>0.99</v>
      </c>
    </row>
    <row r="11" ht="16.5" customHeight="1" spans="1:15">
      <c r="A11" s="1" t="s">
        <v>30</v>
      </c>
      <c r="B11" s="99">
        <v>15690</v>
      </c>
      <c r="C11" s="51">
        <v>11450</v>
      </c>
      <c r="D11" s="51">
        <v>11206</v>
      </c>
      <c r="E11" s="5">
        <f t="shared" si="0"/>
        <v>0.978689956331878</v>
      </c>
      <c r="F11" s="1" t="s">
        <v>31</v>
      </c>
      <c r="G11" s="51">
        <v>2698</v>
      </c>
      <c r="H11" s="51">
        <v>4838</v>
      </c>
      <c r="I11" s="22">
        <v>4808</v>
      </c>
      <c r="J11" s="60">
        <f t="shared" si="1"/>
        <v>0.993799090533278</v>
      </c>
      <c r="K11" s="21" t="s">
        <v>32</v>
      </c>
      <c r="L11" s="19">
        <v>401</v>
      </c>
      <c r="M11" s="19">
        <v>401</v>
      </c>
      <c r="N11" s="19">
        <v>4374</v>
      </c>
      <c r="O11" s="5"/>
    </row>
    <row r="12" ht="16.5" customHeight="1" spans="1:15">
      <c r="A12" s="1" t="s">
        <v>33</v>
      </c>
      <c r="B12" s="99">
        <v>2360</v>
      </c>
      <c r="C12" s="51">
        <v>2000</v>
      </c>
      <c r="D12" s="51">
        <v>2152</v>
      </c>
      <c r="E12" s="5">
        <f t="shared" si="0"/>
        <v>1.076</v>
      </c>
      <c r="F12" s="1" t="s">
        <v>34</v>
      </c>
      <c r="G12" s="51">
        <v>37241</v>
      </c>
      <c r="H12" s="51">
        <v>41462</v>
      </c>
      <c r="I12" s="22">
        <v>41302</v>
      </c>
      <c r="J12" s="60">
        <f t="shared" si="1"/>
        <v>0.996141044812117</v>
      </c>
      <c r="K12" s="21" t="s">
        <v>143</v>
      </c>
      <c r="L12" s="19"/>
      <c r="M12" s="19">
        <v>995</v>
      </c>
      <c r="N12" s="19">
        <v>1149</v>
      </c>
      <c r="O12" s="45"/>
    </row>
    <row r="13" ht="16.5" customHeight="1" spans="1:15">
      <c r="A13" s="1" t="s">
        <v>36</v>
      </c>
      <c r="B13" s="68">
        <v>2400</v>
      </c>
      <c r="C13" s="68">
        <v>2300</v>
      </c>
      <c r="D13" s="51">
        <v>2139</v>
      </c>
      <c r="E13" s="5">
        <f t="shared" si="0"/>
        <v>0.93</v>
      </c>
      <c r="F13" s="1" t="s">
        <v>37</v>
      </c>
      <c r="G13" s="51">
        <v>25060</v>
      </c>
      <c r="H13" s="51">
        <v>28436</v>
      </c>
      <c r="I13" s="22">
        <v>27889</v>
      </c>
      <c r="J13" s="61">
        <f t="shared" si="1"/>
        <v>0.980763820509214</v>
      </c>
      <c r="K13" s="21" t="s">
        <v>38</v>
      </c>
      <c r="L13" s="19"/>
      <c r="M13" s="19">
        <v>15000</v>
      </c>
      <c r="N13" s="19">
        <v>15000</v>
      </c>
      <c r="O13" s="45"/>
    </row>
    <row r="14" ht="16.5" customHeight="1" spans="1:15">
      <c r="A14" s="1" t="s">
        <v>39</v>
      </c>
      <c r="B14" s="68">
        <v>4000</v>
      </c>
      <c r="C14" s="68">
        <v>4100</v>
      </c>
      <c r="D14" s="51">
        <v>4056</v>
      </c>
      <c r="E14" s="5">
        <f t="shared" si="0"/>
        <v>0.989268292682927</v>
      </c>
      <c r="F14" s="1" t="s">
        <v>40</v>
      </c>
      <c r="G14" s="51">
        <v>2374</v>
      </c>
      <c r="H14" s="51">
        <v>10551</v>
      </c>
      <c r="I14" s="22">
        <v>9458</v>
      </c>
      <c r="J14" s="60">
        <f t="shared" si="1"/>
        <v>0.896407923419581</v>
      </c>
      <c r="K14" s="21" t="s">
        <v>192</v>
      </c>
      <c r="L14" s="19"/>
      <c r="M14" s="19"/>
      <c r="N14" s="19">
        <v>16</v>
      </c>
      <c r="O14" s="45"/>
    </row>
    <row r="15" ht="16.5" customHeight="1" spans="1:15">
      <c r="A15" s="1" t="s">
        <v>42</v>
      </c>
      <c r="B15" s="68">
        <v>2700</v>
      </c>
      <c r="C15" s="68">
        <v>2530</v>
      </c>
      <c r="D15" s="51">
        <v>1979</v>
      </c>
      <c r="E15" s="5">
        <f t="shared" si="0"/>
        <v>0.782213438735178</v>
      </c>
      <c r="F15" s="1" t="s">
        <v>43</v>
      </c>
      <c r="G15" s="51">
        <v>3984</v>
      </c>
      <c r="H15" s="51">
        <v>19060</v>
      </c>
      <c r="I15" s="22">
        <v>19060</v>
      </c>
      <c r="J15" s="60">
        <f t="shared" si="1"/>
        <v>1</v>
      </c>
      <c r="K15" s="46" t="s">
        <v>41</v>
      </c>
      <c r="L15" s="19">
        <f t="shared" ref="L15:N15" si="3">SUM(L12,L11,L5,L13,L14)</f>
        <v>95601</v>
      </c>
      <c r="M15" s="19">
        <f t="shared" si="3"/>
        <v>164996</v>
      </c>
      <c r="N15" s="19">
        <f t="shared" si="3"/>
        <v>173057</v>
      </c>
      <c r="O15" s="4"/>
    </row>
    <row r="16" ht="16.5" customHeight="1" spans="1:15">
      <c r="A16" s="1" t="s">
        <v>45</v>
      </c>
      <c r="B16" s="68">
        <v>1400</v>
      </c>
      <c r="C16" s="68">
        <v>1300</v>
      </c>
      <c r="D16" s="51">
        <v>1238</v>
      </c>
      <c r="E16" s="5">
        <f t="shared" si="0"/>
        <v>0.952307692307692</v>
      </c>
      <c r="F16" s="1" t="s">
        <v>46</v>
      </c>
      <c r="G16" s="51">
        <v>17601</v>
      </c>
      <c r="H16" s="51">
        <v>47750</v>
      </c>
      <c r="I16" s="22">
        <v>47093</v>
      </c>
      <c r="J16" s="60">
        <f t="shared" si="1"/>
        <v>0.986240837696335</v>
      </c>
      <c r="K16" s="90" t="s">
        <v>44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3000</v>
      </c>
      <c r="C17" s="68">
        <v>3000</v>
      </c>
      <c r="D17" s="51">
        <v>2430</v>
      </c>
      <c r="E17" s="5">
        <f t="shared" si="0"/>
        <v>0.81</v>
      </c>
      <c r="F17" s="1" t="s">
        <v>48</v>
      </c>
      <c r="G17" s="51">
        <v>2963</v>
      </c>
      <c r="H17" s="22">
        <v>8797</v>
      </c>
      <c r="I17" s="22">
        <v>8665</v>
      </c>
      <c r="J17" s="60">
        <f t="shared" si="1"/>
        <v>0.984994884619757</v>
      </c>
      <c r="K17" s="15" t="s">
        <v>6</v>
      </c>
      <c r="L17" s="15" t="s">
        <v>129</v>
      </c>
      <c r="M17" s="15" t="s">
        <v>130</v>
      </c>
      <c r="N17" s="15" t="s">
        <v>131</v>
      </c>
      <c r="O17" s="15" t="s">
        <v>132</v>
      </c>
    </row>
    <row r="18" ht="16.5" customHeight="1" spans="1:15">
      <c r="A18" s="1" t="s">
        <v>50</v>
      </c>
      <c r="B18" s="68">
        <v>8910</v>
      </c>
      <c r="C18" s="68">
        <v>8700</v>
      </c>
      <c r="D18" s="51">
        <v>7705</v>
      </c>
      <c r="E18" s="5">
        <f t="shared" si="0"/>
        <v>0.885632183908046</v>
      </c>
      <c r="F18" s="1" t="s">
        <v>51</v>
      </c>
      <c r="G18" s="51">
        <v>5790</v>
      </c>
      <c r="H18" s="22">
        <v>14140</v>
      </c>
      <c r="I18" s="22">
        <v>14120</v>
      </c>
      <c r="J18" s="60">
        <f t="shared" si="1"/>
        <v>0.998585572842999</v>
      </c>
      <c r="K18" s="16" t="s">
        <v>144</v>
      </c>
      <c r="L18" s="52">
        <f>SUM(L19:L29)</f>
        <v>39518</v>
      </c>
      <c r="M18" s="52">
        <f>SUM(M19:M29)</f>
        <v>103429</v>
      </c>
      <c r="N18" s="52">
        <f>SUM(N19:N29)</f>
        <v>88777</v>
      </c>
      <c r="O18" s="18">
        <f t="shared" ref="O18:O30" si="4">N18/M18</f>
        <v>0.858337603573466</v>
      </c>
    </row>
    <row r="19" ht="16.5" customHeight="1" spans="1:15">
      <c r="A19" s="1" t="s">
        <v>53</v>
      </c>
      <c r="B19" s="68">
        <v>1450</v>
      </c>
      <c r="C19" s="68">
        <v>1700</v>
      </c>
      <c r="D19" s="51">
        <v>1646</v>
      </c>
      <c r="E19" s="5">
        <f t="shared" si="0"/>
        <v>0.968235294117647</v>
      </c>
      <c r="F19" s="1" t="s">
        <v>54</v>
      </c>
      <c r="G19" s="51">
        <v>406</v>
      </c>
      <c r="H19" s="22">
        <v>1199</v>
      </c>
      <c r="I19" s="22">
        <v>1194</v>
      </c>
      <c r="J19" s="60">
        <f t="shared" si="1"/>
        <v>0.995829858215179</v>
      </c>
      <c r="K19" s="42" t="s">
        <v>52</v>
      </c>
      <c r="L19" s="22"/>
      <c r="M19" s="22">
        <v>639</v>
      </c>
      <c r="N19" s="51">
        <v>639</v>
      </c>
      <c r="O19" s="5">
        <f t="shared" si="4"/>
        <v>1</v>
      </c>
    </row>
    <row r="20" ht="16.5" customHeight="1" spans="1:15">
      <c r="A20" s="1" t="s">
        <v>56</v>
      </c>
      <c r="B20" s="68">
        <v>170</v>
      </c>
      <c r="C20" s="68">
        <v>170</v>
      </c>
      <c r="D20" s="51">
        <v>151</v>
      </c>
      <c r="E20" s="5">
        <f t="shared" si="0"/>
        <v>0.888235294117647</v>
      </c>
      <c r="F20" s="1" t="s">
        <v>57</v>
      </c>
      <c r="G20" s="51"/>
      <c r="H20" s="22">
        <v>100</v>
      </c>
      <c r="I20" s="22">
        <v>100</v>
      </c>
      <c r="J20" s="60">
        <f t="shared" si="1"/>
        <v>1</v>
      </c>
      <c r="K20" s="81" t="s">
        <v>55</v>
      </c>
      <c r="L20" s="22">
        <v>36267</v>
      </c>
      <c r="M20" s="22">
        <v>80932</v>
      </c>
      <c r="N20" s="51">
        <v>66802</v>
      </c>
      <c r="O20" s="5">
        <f t="shared" si="4"/>
        <v>0.82540898532101</v>
      </c>
    </row>
    <row r="21" ht="16.5" customHeight="1" spans="1:15">
      <c r="A21" s="1" t="s">
        <v>59</v>
      </c>
      <c r="B21" s="51">
        <v>870</v>
      </c>
      <c r="C21" s="51">
        <v>1340</v>
      </c>
      <c r="D21" s="51">
        <v>1438</v>
      </c>
      <c r="E21" s="5">
        <f t="shared" si="0"/>
        <v>1.07313432835821</v>
      </c>
      <c r="F21" s="1" t="s">
        <v>60</v>
      </c>
      <c r="G21" s="51">
        <v>1483</v>
      </c>
      <c r="H21" s="22">
        <v>1502</v>
      </c>
      <c r="I21" s="22">
        <v>1502</v>
      </c>
      <c r="J21" s="60">
        <f t="shared" si="1"/>
        <v>1</v>
      </c>
      <c r="K21" s="42" t="s">
        <v>58</v>
      </c>
      <c r="L21" s="22">
        <v>33</v>
      </c>
      <c r="M21" s="22">
        <v>396</v>
      </c>
      <c r="N21" s="51">
        <v>396</v>
      </c>
      <c r="O21" s="5">
        <f t="shared" si="4"/>
        <v>1</v>
      </c>
    </row>
    <row r="22" ht="16.5" customHeight="1" spans="1:15">
      <c r="A22" s="1" t="s">
        <v>62</v>
      </c>
      <c r="B22" s="51">
        <v>3600</v>
      </c>
      <c r="C22" s="51">
        <v>6760</v>
      </c>
      <c r="D22" s="51">
        <v>6448</v>
      </c>
      <c r="E22" s="5">
        <f t="shared" si="0"/>
        <v>0.953846153846154</v>
      </c>
      <c r="F22" s="1" t="s">
        <v>63</v>
      </c>
      <c r="G22" s="51"/>
      <c r="H22" s="22">
        <v>3950</v>
      </c>
      <c r="I22" s="22">
        <v>2982</v>
      </c>
      <c r="J22" s="60">
        <f t="shared" si="1"/>
        <v>0.754936708860759</v>
      </c>
      <c r="K22" s="42" t="s">
        <v>61</v>
      </c>
      <c r="L22" s="22">
        <v>1500</v>
      </c>
      <c r="M22" s="22">
        <v>1724</v>
      </c>
      <c r="N22" s="51">
        <v>1480</v>
      </c>
      <c r="O22" s="5">
        <f t="shared" si="4"/>
        <v>0.8584686774942</v>
      </c>
    </row>
    <row r="23" ht="16.5" customHeight="1" spans="1:15">
      <c r="A23" s="1" t="s">
        <v>65</v>
      </c>
      <c r="B23" s="51"/>
      <c r="C23" s="51"/>
      <c r="D23" s="51">
        <v>4</v>
      </c>
      <c r="E23" s="5"/>
      <c r="F23" s="1" t="s">
        <v>66</v>
      </c>
      <c r="G23" s="51">
        <v>2352</v>
      </c>
      <c r="H23" s="22">
        <v>1209</v>
      </c>
      <c r="I23" s="22">
        <v>1207</v>
      </c>
      <c r="J23" s="60">
        <f t="shared" si="1"/>
        <v>0.998345740281224</v>
      </c>
      <c r="K23" s="42" t="s">
        <v>64</v>
      </c>
      <c r="L23" s="22">
        <v>700</v>
      </c>
      <c r="M23" s="22">
        <v>797</v>
      </c>
      <c r="N23" s="51">
        <v>698</v>
      </c>
      <c r="O23" s="5">
        <f t="shared" si="4"/>
        <v>0.875784190715182</v>
      </c>
    </row>
    <row r="24" ht="16.5" customHeight="1" spans="1:15">
      <c r="A24" s="21" t="s">
        <v>68</v>
      </c>
      <c r="B24" s="52">
        <f>SUM(B25,B27:B32)</f>
        <v>32100</v>
      </c>
      <c r="C24" s="52">
        <f>SUM(C25,C27:C32)</f>
        <v>33600</v>
      </c>
      <c r="D24" s="52">
        <f>SUM(D25,D27:D32)</f>
        <v>34909</v>
      </c>
      <c r="E24" s="18">
        <f t="shared" si="0"/>
        <v>1.03895833333333</v>
      </c>
      <c r="F24" s="1" t="s">
        <v>69</v>
      </c>
      <c r="G24" s="51">
        <v>2787</v>
      </c>
      <c r="H24" s="22">
        <v>3604</v>
      </c>
      <c r="I24" s="22">
        <v>3563</v>
      </c>
      <c r="J24" s="60">
        <f t="shared" si="1"/>
        <v>0.988623751387347</v>
      </c>
      <c r="K24" s="42" t="s">
        <v>183</v>
      </c>
      <c r="L24" s="22"/>
      <c r="M24" s="22">
        <v>367</v>
      </c>
      <c r="N24" s="51">
        <v>367</v>
      </c>
      <c r="O24" s="5">
        <f t="shared" si="4"/>
        <v>1</v>
      </c>
    </row>
    <row r="25" ht="16.5" customHeight="1" spans="1:15">
      <c r="A25" s="1" t="s">
        <v>71</v>
      </c>
      <c r="B25" s="51">
        <v>10100</v>
      </c>
      <c r="C25" s="51">
        <v>8500</v>
      </c>
      <c r="D25" s="51">
        <v>8383</v>
      </c>
      <c r="E25" s="5">
        <f t="shared" si="0"/>
        <v>0.986235294117647</v>
      </c>
      <c r="F25" s="1" t="s">
        <v>72</v>
      </c>
      <c r="G25" s="51">
        <v>14980</v>
      </c>
      <c r="H25" s="22">
        <v>15153</v>
      </c>
      <c r="I25" s="22">
        <v>15153</v>
      </c>
      <c r="J25" s="60">
        <f t="shared" si="1"/>
        <v>1</v>
      </c>
      <c r="K25" s="81" t="s">
        <v>70</v>
      </c>
      <c r="L25" s="22"/>
      <c r="M25" s="22">
        <v>700</v>
      </c>
      <c r="N25" s="51">
        <v>700</v>
      </c>
      <c r="O25" s="5">
        <f t="shared" si="4"/>
        <v>1</v>
      </c>
    </row>
    <row r="26" ht="16.5" customHeight="1" spans="1:15">
      <c r="A26" s="1" t="s">
        <v>151</v>
      </c>
      <c r="B26" s="51">
        <v>2800</v>
      </c>
      <c r="C26" s="51">
        <v>2600</v>
      </c>
      <c r="D26" s="51">
        <v>2696</v>
      </c>
      <c r="E26" s="5">
        <f t="shared" si="0"/>
        <v>1.03692307692308</v>
      </c>
      <c r="F26" s="1" t="s">
        <v>75</v>
      </c>
      <c r="G26" s="51">
        <v>3000</v>
      </c>
      <c r="H26" s="22">
        <v>318</v>
      </c>
      <c r="I26" s="22">
        <v>266</v>
      </c>
      <c r="J26" s="80">
        <f t="shared" si="1"/>
        <v>0.836477987421384</v>
      </c>
      <c r="K26" s="42" t="s">
        <v>73</v>
      </c>
      <c r="L26" s="22">
        <v>1018</v>
      </c>
      <c r="M26" s="22">
        <v>2110</v>
      </c>
      <c r="N26" s="51">
        <v>1931</v>
      </c>
      <c r="O26" s="5">
        <f t="shared" si="4"/>
        <v>0.915165876777251</v>
      </c>
    </row>
    <row r="27" ht="16.5" customHeight="1" spans="1:15">
      <c r="A27" s="1" t="s">
        <v>77</v>
      </c>
      <c r="B27" s="4">
        <v>3500</v>
      </c>
      <c r="C27" s="51">
        <v>1200</v>
      </c>
      <c r="D27" s="51">
        <v>1134</v>
      </c>
      <c r="E27" s="5">
        <f t="shared" si="0"/>
        <v>0.945</v>
      </c>
      <c r="F27" s="26" t="s">
        <v>78</v>
      </c>
      <c r="G27" s="69">
        <f>SUM(G28:G29)</f>
        <v>7100</v>
      </c>
      <c r="H27" s="69">
        <f>SUM(H28:H29)</f>
        <v>7100</v>
      </c>
      <c r="I27" s="69">
        <f>SUM(I28:I29)</f>
        <v>7953</v>
      </c>
      <c r="J27" s="5"/>
      <c r="K27" s="81" t="s">
        <v>203</v>
      </c>
      <c r="L27" s="22"/>
      <c r="M27" s="22">
        <v>15000</v>
      </c>
      <c r="N27" s="51">
        <v>15000</v>
      </c>
      <c r="O27" s="5">
        <f t="shared" si="4"/>
        <v>1</v>
      </c>
    </row>
    <row r="28" ht="16.5" customHeight="1" spans="1:15">
      <c r="A28" s="1" t="s">
        <v>80</v>
      </c>
      <c r="B28" s="4">
        <v>4800</v>
      </c>
      <c r="C28" s="51">
        <v>3000</v>
      </c>
      <c r="D28" s="51">
        <v>3656</v>
      </c>
      <c r="E28" s="5">
        <f t="shared" si="0"/>
        <v>1.21866666666667</v>
      </c>
      <c r="F28" s="1" t="s">
        <v>81</v>
      </c>
      <c r="G28" s="51">
        <v>3100</v>
      </c>
      <c r="H28" s="22">
        <v>3100</v>
      </c>
      <c r="I28" s="22">
        <v>2578</v>
      </c>
      <c r="J28" s="5"/>
      <c r="K28" s="42" t="s">
        <v>173</v>
      </c>
      <c r="L28" s="22"/>
      <c r="M28" s="22">
        <v>747</v>
      </c>
      <c r="N28" s="51">
        <v>747</v>
      </c>
      <c r="O28" s="5">
        <f t="shared" si="4"/>
        <v>1</v>
      </c>
    </row>
    <row r="29" ht="16.5" customHeight="1" spans="1:15">
      <c r="A29" s="1" t="s">
        <v>155</v>
      </c>
      <c r="B29" s="4">
        <v>1900</v>
      </c>
      <c r="C29" s="51">
        <v>5400</v>
      </c>
      <c r="D29" s="51">
        <v>5400</v>
      </c>
      <c r="E29" s="5">
        <f t="shared" si="0"/>
        <v>1</v>
      </c>
      <c r="F29" s="1" t="s">
        <v>84</v>
      </c>
      <c r="G29" s="71">
        <v>4000</v>
      </c>
      <c r="H29" s="22">
        <v>4000</v>
      </c>
      <c r="I29" s="22">
        <v>5375</v>
      </c>
      <c r="J29" s="5"/>
      <c r="K29" s="42" t="s">
        <v>174</v>
      </c>
      <c r="L29" s="22"/>
      <c r="M29" s="22">
        <v>17</v>
      </c>
      <c r="N29" s="51">
        <v>17</v>
      </c>
      <c r="O29" s="5">
        <f t="shared" si="4"/>
        <v>1</v>
      </c>
    </row>
    <row r="30" ht="16.5" customHeight="1" spans="1:15">
      <c r="A30" s="1" t="s">
        <v>86</v>
      </c>
      <c r="B30" s="4">
        <v>800</v>
      </c>
      <c r="C30" s="51">
        <v>1400</v>
      </c>
      <c r="D30" s="51">
        <v>1459</v>
      </c>
      <c r="E30" s="5">
        <f t="shared" si="0"/>
        <v>1.04214285714286</v>
      </c>
      <c r="F30" s="26" t="s">
        <v>87</v>
      </c>
      <c r="G30" s="72"/>
      <c r="H30" s="22"/>
      <c r="I30" s="19">
        <v>7028</v>
      </c>
      <c r="J30" s="5"/>
      <c r="K30" s="16" t="s">
        <v>82</v>
      </c>
      <c r="L30" s="22">
        <v>56083</v>
      </c>
      <c r="M30" s="19">
        <v>69000</v>
      </c>
      <c r="N30" s="41">
        <v>69628</v>
      </c>
      <c r="O30" s="5">
        <f t="shared" si="4"/>
        <v>1.00910144927536</v>
      </c>
    </row>
    <row r="31" ht="16.5" customHeight="1" spans="1:15">
      <c r="A31" s="1" t="s">
        <v>89</v>
      </c>
      <c r="B31" s="4">
        <v>55</v>
      </c>
      <c r="C31" s="51">
        <v>55</v>
      </c>
      <c r="D31" s="51">
        <v>50</v>
      </c>
      <c r="E31" s="5">
        <f t="shared" si="0"/>
        <v>0.909090909090909</v>
      </c>
      <c r="F31" s="26" t="s">
        <v>90</v>
      </c>
      <c r="G31" s="72"/>
      <c r="H31" s="22"/>
      <c r="I31" s="19">
        <v>2614</v>
      </c>
      <c r="J31" s="5"/>
      <c r="K31" s="16" t="s">
        <v>85</v>
      </c>
      <c r="L31" s="22"/>
      <c r="M31" s="19"/>
      <c r="N31" s="41"/>
      <c r="O31" s="5"/>
    </row>
    <row r="32" ht="16.5" customHeight="1" spans="1:15">
      <c r="A32" s="1" t="s">
        <v>158</v>
      </c>
      <c r="B32" s="4">
        <v>10945</v>
      </c>
      <c r="C32" s="51">
        <v>14045</v>
      </c>
      <c r="D32" s="51">
        <v>14827</v>
      </c>
      <c r="E32" s="5">
        <f t="shared" si="0"/>
        <v>1.05567817728729</v>
      </c>
      <c r="F32" s="26" t="s">
        <v>93</v>
      </c>
      <c r="G32" s="72"/>
      <c r="H32" s="22"/>
      <c r="I32" s="19">
        <v>1065</v>
      </c>
      <c r="J32" s="5"/>
      <c r="K32" s="21" t="s">
        <v>88</v>
      </c>
      <c r="L32" s="22"/>
      <c r="M32" s="22"/>
      <c r="N32" s="52">
        <v>14652</v>
      </c>
      <c r="O32" s="4"/>
    </row>
    <row r="33" ht="16.5" customHeight="1" spans="1:15">
      <c r="A33" s="28" t="s">
        <v>94</v>
      </c>
      <c r="B33" s="52">
        <f>SUM(B34:B36)</f>
        <v>67159</v>
      </c>
      <c r="C33" s="52">
        <f>SUM(C34:C36)</f>
        <v>69112</v>
      </c>
      <c r="D33" s="52">
        <f>SUM(D34:D36)</f>
        <v>140209</v>
      </c>
      <c r="E33" s="18"/>
      <c r="F33" s="21" t="s">
        <v>199</v>
      </c>
      <c r="G33" s="52"/>
      <c r="H33" s="22"/>
      <c r="I33" s="19">
        <v>4510</v>
      </c>
      <c r="J33" s="5"/>
      <c r="K33" s="21" t="s">
        <v>91</v>
      </c>
      <c r="L33" s="19">
        <f>SUM(L18,L30:L32)</f>
        <v>95601</v>
      </c>
      <c r="M33" s="22"/>
      <c r="N33" s="19">
        <f>SUM(N18,N30:N32)</f>
        <v>173057</v>
      </c>
      <c r="O33" s="4"/>
    </row>
    <row r="34" ht="16.5" customHeight="1" spans="1:15">
      <c r="A34" s="29" t="s">
        <v>96</v>
      </c>
      <c r="B34" s="51">
        <v>10690</v>
      </c>
      <c r="C34" s="51">
        <v>10690</v>
      </c>
      <c r="D34" s="51">
        <v>10690</v>
      </c>
      <c r="E34" s="5"/>
      <c r="F34" s="1" t="s">
        <v>100</v>
      </c>
      <c r="G34" s="51"/>
      <c r="H34" s="22"/>
      <c r="I34" s="22">
        <v>4510</v>
      </c>
      <c r="J34" s="5"/>
      <c r="K34" s="93" t="s">
        <v>98</v>
      </c>
      <c r="L34" s="94"/>
      <c r="M34" s="94"/>
      <c r="N34" s="94"/>
      <c r="O34" s="95"/>
    </row>
    <row r="35" ht="16.5" customHeight="1" spans="1:15">
      <c r="A35" s="29" t="s">
        <v>99</v>
      </c>
      <c r="B35" s="51">
        <v>39527</v>
      </c>
      <c r="C35" s="51">
        <v>41480</v>
      </c>
      <c r="D35" s="51">
        <v>104397</v>
      </c>
      <c r="E35" s="5"/>
      <c r="F35" s="21" t="s">
        <v>103</v>
      </c>
      <c r="G35" s="52">
        <f>SUM(G5,G27,G30:G33)</f>
        <v>250142</v>
      </c>
      <c r="H35" s="52">
        <f>SUM(H5,H27,H30:H33)</f>
        <v>344624</v>
      </c>
      <c r="I35" s="52">
        <f>SUM(I5,I27,I30:I33)</f>
        <v>356184</v>
      </c>
      <c r="J35" s="4"/>
      <c r="K35" s="15" t="s">
        <v>6</v>
      </c>
      <c r="L35" s="15" t="s">
        <v>129</v>
      </c>
      <c r="M35" s="15" t="s">
        <v>130</v>
      </c>
      <c r="N35" s="15" t="s">
        <v>131</v>
      </c>
      <c r="O35" s="15" t="s">
        <v>132</v>
      </c>
    </row>
    <row r="36" ht="16.5" customHeight="1" spans="1:15">
      <c r="A36" s="29" t="s">
        <v>160</v>
      </c>
      <c r="B36" s="51">
        <v>16942</v>
      </c>
      <c r="C36" s="51">
        <v>16942</v>
      </c>
      <c r="D36" s="51">
        <v>25122</v>
      </c>
      <c r="E36" s="5"/>
      <c r="F36" s="30" t="s">
        <v>106</v>
      </c>
      <c r="G36" s="31"/>
      <c r="H36" s="31"/>
      <c r="I36" s="31"/>
      <c r="J36" s="48"/>
      <c r="K36" s="21" t="s">
        <v>104</v>
      </c>
      <c r="L36" s="45">
        <v>107</v>
      </c>
      <c r="M36" s="45">
        <v>163</v>
      </c>
      <c r="N36" s="45">
        <v>163</v>
      </c>
      <c r="O36" s="18">
        <f>N36/M36</f>
        <v>1</v>
      </c>
    </row>
    <row r="37" ht="16.5" customHeight="1" spans="1:15">
      <c r="A37" s="33" t="s">
        <v>105</v>
      </c>
      <c r="B37" s="72"/>
      <c r="C37" s="52">
        <v>306</v>
      </c>
      <c r="D37" s="52">
        <v>1890</v>
      </c>
      <c r="E37" s="45"/>
      <c r="F37" s="15" t="s">
        <v>6</v>
      </c>
      <c r="G37" s="4" t="s">
        <v>129</v>
      </c>
      <c r="H37" s="4" t="s">
        <v>130</v>
      </c>
      <c r="I37" s="4" t="s">
        <v>131</v>
      </c>
      <c r="J37" s="4" t="s">
        <v>132</v>
      </c>
      <c r="K37" s="21" t="s">
        <v>109</v>
      </c>
      <c r="L37" s="45">
        <v>107</v>
      </c>
      <c r="M37" s="45">
        <v>63</v>
      </c>
      <c r="N37" s="45">
        <v>63</v>
      </c>
      <c r="O37" s="18">
        <f>N37/M37</f>
        <v>1</v>
      </c>
    </row>
    <row r="38" ht="16.5" customHeight="1" spans="1:15">
      <c r="A38" s="33" t="s">
        <v>108</v>
      </c>
      <c r="B38" s="85"/>
      <c r="C38" s="52">
        <v>12124</v>
      </c>
      <c r="D38" s="52">
        <v>20274</v>
      </c>
      <c r="E38" s="1"/>
      <c r="F38" s="21" t="s">
        <v>12</v>
      </c>
      <c r="G38" s="85">
        <f>B5</f>
        <v>126900</v>
      </c>
      <c r="H38" s="85">
        <f>C5</f>
        <v>122700</v>
      </c>
      <c r="I38" s="85">
        <f>D5</f>
        <v>122700</v>
      </c>
      <c r="J38" s="18">
        <f t="shared" ref="J38:J45" si="5">I38/H38</f>
        <v>1</v>
      </c>
      <c r="K38" s="21" t="s">
        <v>114</v>
      </c>
      <c r="L38" s="45"/>
      <c r="M38" s="45">
        <v>100</v>
      </c>
      <c r="N38" s="45">
        <v>100</v>
      </c>
      <c r="O38" s="18"/>
    </row>
    <row r="39" ht="16.5" customHeight="1" spans="1:15">
      <c r="A39" s="87" t="s">
        <v>110</v>
      </c>
      <c r="B39" s="52"/>
      <c r="C39" s="52"/>
      <c r="D39" s="52"/>
      <c r="E39" s="5"/>
      <c r="F39" s="34" t="s">
        <v>113</v>
      </c>
      <c r="G39" s="85">
        <f>SUM(G40:G44)</f>
        <v>75400</v>
      </c>
      <c r="H39" s="85">
        <f>SUM(H40:H44)</f>
        <v>70000</v>
      </c>
      <c r="I39" s="85">
        <f>SUM(I40:I44)</f>
        <v>71269</v>
      </c>
      <c r="J39" s="18">
        <f t="shared" si="5"/>
        <v>1.01812857142857</v>
      </c>
      <c r="K39" s="93" t="s">
        <v>116</v>
      </c>
      <c r="L39" s="94"/>
      <c r="M39" s="94"/>
      <c r="N39" s="94"/>
      <c r="O39" s="95"/>
    </row>
    <row r="40" ht="16.5" customHeight="1" spans="1:15">
      <c r="A40" s="33" t="s">
        <v>112</v>
      </c>
      <c r="B40" s="52">
        <v>56083</v>
      </c>
      <c r="C40" s="52">
        <v>69100</v>
      </c>
      <c r="D40" s="52">
        <v>71111</v>
      </c>
      <c r="E40" s="5"/>
      <c r="F40" s="35" t="s">
        <v>164</v>
      </c>
      <c r="G40" s="51">
        <f>B7</f>
        <v>48250</v>
      </c>
      <c r="H40" s="51">
        <f>C7</f>
        <v>43750</v>
      </c>
      <c r="I40" s="51">
        <f>D7</f>
        <v>45199</v>
      </c>
      <c r="J40" s="5">
        <f t="shared" si="5"/>
        <v>1.03312</v>
      </c>
      <c r="K40" s="21" t="s">
        <v>119</v>
      </c>
      <c r="L40" s="45">
        <v>47240</v>
      </c>
      <c r="M40" s="66">
        <v>45266</v>
      </c>
      <c r="N40" s="21">
        <v>47435</v>
      </c>
      <c r="O40" s="18">
        <f>N40/M40</f>
        <v>1.04791675871515</v>
      </c>
    </row>
    <row r="41" ht="16.5" customHeight="1" spans="1:15">
      <c r="A41" s="33"/>
      <c r="B41" s="51"/>
      <c r="C41" s="52"/>
      <c r="D41" s="52"/>
      <c r="E41" s="5"/>
      <c r="F41" s="35" t="s">
        <v>117</v>
      </c>
      <c r="G41" s="51">
        <f t="shared" ref="G41:I42" si="6">B11*1.5</f>
        <v>23535</v>
      </c>
      <c r="H41" s="51">
        <f t="shared" si="6"/>
        <v>17175</v>
      </c>
      <c r="I41" s="51">
        <f t="shared" si="6"/>
        <v>16809</v>
      </c>
      <c r="J41" s="5">
        <f t="shared" si="5"/>
        <v>0.978689956331878</v>
      </c>
      <c r="K41" s="1" t="s">
        <v>166</v>
      </c>
      <c r="L41" s="104">
        <v>22399</v>
      </c>
      <c r="M41" s="67">
        <v>20644</v>
      </c>
      <c r="N41" s="1">
        <v>21843</v>
      </c>
      <c r="O41" s="18">
        <f t="shared" ref="O41:O43" si="7">N41/M41</f>
        <v>1.05807982949041</v>
      </c>
    </row>
    <row r="42" ht="16.5" customHeight="1" spans="1:15">
      <c r="A42" s="33"/>
      <c r="B42" s="51"/>
      <c r="C42" s="52"/>
      <c r="D42" s="52"/>
      <c r="E42" s="5"/>
      <c r="F42" s="35" t="s">
        <v>118</v>
      </c>
      <c r="G42" s="51">
        <f t="shared" si="6"/>
        <v>3540</v>
      </c>
      <c r="H42" s="51">
        <f t="shared" si="6"/>
        <v>3000</v>
      </c>
      <c r="I42" s="51">
        <f t="shared" si="6"/>
        <v>3228</v>
      </c>
      <c r="J42" s="5">
        <f t="shared" si="5"/>
        <v>1.076</v>
      </c>
      <c r="K42" s="1" t="s">
        <v>167</v>
      </c>
      <c r="L42" s="104">
        <v>24261</v>
      </c>
      <c r="M42" s="67">
        <v>23451</v>
      </c>
      <c r="N42" s="1">
        <v>23486</v>
      </c>
      <c r="O42" s="18">
        <f t="shared" si="7"/>
        <v>1.0014924736685</v>
      </c>
    </row>
    <row r="43" ht="17.25" customHeight="1" spans="1:15">
      <c r="A43" s="33"/>
      <c r="B43" s="51"/>
      <c r="C43" s="51"/>
      <c r="D43" s="52"/>
      <c r="E43" s="5"/>
      <c r="F43" s="35" t="s">
        <v>120</v>
      </c>
      <c r="G43" s="51">
        <v>75</v>
      </c>
      <c r="H43" s="51">
        <v>70</v>
      </c>
      <c r="I43" s="51">
        <v>62</v>
      </c>
      <c r="J43" s="5">
        <f t="shared" si="5"/>
        <v>0.885714285714286</v>
      </c>
      <c r="K43" s="21" t="s">
        <v>121</v>
      </c>
      <c r="L43" s="96">
        <v>40122</v>
      </c>
      <c r="M43" s="66">
        <v>40661</v>
      </c>
      <c r="N43" s="21">
        <v>40192</v>
      </c>
      <c r="O43" s="18">
        <f t="shared" si="7"/>
        <v>0.988465605863112</v>
      </c>
    </row>
    <row r="44" ht="21" customHeight="1" spans="1:15">
      <c r="A44" s="33"/>
      <c r="B44" s="51"/>
      <c r="C44" s="51"/>
      <c r="D44" s="52"/>
      <c r="E44" s="5"/>
      <c r="F44" s="102" t="s">
        <v>168</v>
      </c>
      <c r="G44" s="1"/>
      <c r="H44" s="4">
        <v>6005</v>
      </c>
      <c r="I44" s="4">
        <v>5971</v>
      </c>
      <c r="J44" s="5">
        <f t="shared" si="5"/>
        <v>0.994338051623647</v>
      </c>
      <c r="K44" s="21" t="s">
        <v>123</v>
      </c>
      <c r="L44" s="21">
        <f>L40-L43</f>
        <v>7118</v>
      </c>
      <c r="M44" s="21">
        <f>M40-M43</f>
        <v>4605</v>
      </c>
      <c r="N44" s="21">
        <f>N40-N43</f>
        <v>7243</v>
      </c>
      <c r="O44" s="18"/>
    </row>
    <row r="45" ht="15.95" customHeight="1" spans="1:15">
      <c r="A45" s="28" t="s">
        <v>124</v>
      </c>
      <c r="B45" s="52">
        <f>SUM(B5,B33,B37:B40)</f>
        <v>250142</v>
      </c>
      <c r="C45" s="52"/>
      <c r="D45" s="52">
        <f>SUM(D5,D33,D37:D40)</f>
        <v>356184</v>
      </c>
      <c r="E45" s="5"/>
      <c r="F45" s="36" t="s">
        <v>125</v>
      </c>
      <c r="G45" s="85">
        <f>SUM(G38:G39)</f>
        <v>202300</v>
      </c>
      <c r="H45" s="85">
        <f>SUM(H38:H39)</f>
        <v>192700</v>
      </c>
      <c r="I45" s="85">
        <f>SUM(I38:I39)</f>
        <v>193969</v>
      </c>
      <c r="J45" s="18">
        <f t="shared" si="5"/>
        <v>1.00658536585366</v>
      </c>
      <c r="K45" s="21" t="s">
        <v>126</v>
      </c>
      <c r="L45" s="1"/>
      <c r="M45" s="1"/>
      <c r="N45" s="21">
        <v>47887</v>
      </c>
      <c r="O45" s="4"/>
    </row>
    <row r="46" ht="15.95" customHeight="1"/>
  </sheetData>
  <mergeCells count="8">
    <mergeCell ref="A1:O1"/>
    <mergeCell ref="A3:E3"/>
    <mergeCell ref="F3:J3"/>
    <mergeCell ref="K3:O3"/>
    <mergeCell ref="K16:O16"/>
    <mergeCell ref="K34:O34"/>
    <mergeCell ref="F36:J36"/>
    <mergeCell ref="K39:O39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A4" workbookViewId="0">
      <selection activeCell="C35" sqref="C35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204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205</v>
      </c>
      <c r="C4" s="15" t="s">
        <v>195</v>
      </c>
      <c r="D4" s="15" t="s">
        <v>9</v>
      </c>
      <c r="E4" s="15" t="s">
        <v>10</v>
      </c>
      <c r="F4" s="15" t="s">
        <v>6</v>
      </c>
      <c r="G4" s="15" t="s">
        <v>206</v>
      </c>
      <c r="H4" s="15" t="s">
        <v>207</v>
      </c>
      <c r="I4" s="15" t="s">
        <v>11</v>
      </c>
      <c r="J4" s="15" t="s">
        <v>10</v>
      </c>
      <c r="K4" s="15" t="s">
        <v>6</v>
      </c>
      <c r="L4" s="15" t="s">
        <v>206</v>
      </c>
      <c r="M4" s="15" t="s">
        <v>207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SUM(B6,B23)</f>
        <v>111028</v>
      </c>
      <c r="C5" s="52">
        <f>SUM(C6,C23)</f>
        <v>122670</v>
      </c>
      <c r="D5" s="52">
        <f>C5-B5</f>
        <v>11642</v>
      </c>
      <c r="E5" s="18">
        <f t="shared" ref="E5:E30" si="0">D5/B5</f>
        <v>0.104856432611593</v>
      </c>
      <c r="F5" s="21" t="s">
        <v>13</v>
      </c>
      <c r="G5" s="19">
        <f>SUM(G6:G25)</f>
        <v>320637</v>
      </c>
      <c r="H5" s="19">
        <f>SUM(H6:H25)</f>
        <v>329954</v>
      </c>
      <c r="I5" s="19">
        <f>SUM(I6:I25)</f>
        <v>9317</v>
      </c>
      <c r="J5" s="18">
        <f t="shared" ref="J5:J26" si="1">I5/G5</f>
        <v>0.0290577818529989</v>
      </c>
      <c r="K5" s="46" t="s">
        <v>14</v>
      </c>
      <c r="L5" s="52">
        <f>SUM(L6:L10)</f>
        <v>62231</v>
      </c>
      <c r="M5" s="52">
        <f>SUM(M6:M10)</f>
        <v>89511</v>
      </c>
      <c r="N5" s="52">
        <f>SUM(N6:N10)</f>
        <v>27280</v>
      </c>
      <c r="O5" s="18">
        <f t="shared" ref="O5:O12" si="2">N5/L5</f>
        <v>0.438366730407675</v>
      </c>
    </row>
    <row r="6" ht="17.25" customHeight="1" spans="1:15">
      <c r="A6" s="21" t="s">
        <v>15</v>
      </c>
      <c r="B6" s="52">
        <f>SUM(B7,B10:B22)</f>
        <v>71161</v>
      </c>
      <c r="C6" s="52">
        <f>SUM(C7,C10:C22)</f>
        <v>90173</v>
      </c>
      <c r="D6" s="52">
        <f>SUM(D7,D10:D22)</f>
        <v>19012</v>
      </c>
      <c r="E6" s="18">
        <f t="shared" si="0"/>
        <v>0.267168814378662</v>
      </c>
      <c r="F6" s="1" t="s">
        <v>16</v>
      </c>
      <c r="G6" s="22">
        <v>28951</v>
      </c>
      <c r="H6" s="22">
        <v>28985</v>
      </c>
      <c r="I6" s="51">
        <f t="shared" ref="I6:I34" si="3">H6-G6</f>
        <v>34</v>
      </c>
      <c r="J6" s="5">
        <f t="shared" si="1"/>
        <v>0.00117439812096301</v>
      </c>
      <c r="K6" s="42" t="s">
        <v>17</v>
      </c>
      <c r="L6" s="51">
        <v>58311</v>
      </c>
      <c r="M6" s="51">
        <v>86225</v>
      </c>
      <c r="N6" s="51">
        <f t="shared" ref="N6:N12" si="4">M6-L6</f>
        <v>27914</v>
      </c>
      <c r="O6" s="5">
        <f t="shared" si="2"/>
        <v>0.478708991442438</v>
      </c>
    </row>
    <row r="7" ht="17.25" customHeight="1" spans="1:15">
      <c r="A7" s="1" t="s">
        <v>18</v>
      </c>
      <c r="B7" s="51">
        <f>SUM(B8:B9)</f>
        <v>34300</v>
      </c>
      <c r="C7" s="51">
        <f>SUM(C8:C9)</f>
        <v>43931</v>
      </c>
      <c r="D7" s="51">
        <f>SUM(D8:D9)</f>
        <v>9631</v>
      </c>
      <c r="E7" s="5">
        <f t="shared" si="0"/>
        <v>0.280787172011662</v>
      </c>
      <c r="F7" s="1" t="s">
        <v>19</v>
      </c>
      <c r="G7" s="22">
        <v>251</v>
      </c>
      <c r="H7" s="22">
        <v>377</v>
      </c>
      <c r="I7" s="51">
        <f t="shared" si="3"/>
        <v>126</v>
      </c>
      <c r="J7" s="5">
        <f t="shared" si="1"/>
        <v>0.50199203187251</v>
      </c>
      <c r="K7" s="42" t="s">
        <v>20</v>
      </c>
      <c r="L7" s="51">
        <v>2532</v>
      </c>
      <c r="M7" s="51">
        <v>1918</v>
      </c>
      <c r="N7" s="51">
        <f t="shared" si="4"/>
        <v>-614</v>
      </c>
      <c r="O7" s="5">
        <f t="shared" si="2"/>
        <v>-0.242496050552923</v>
      </c>
    </row>
    <row r="8" ht="17.25" customHeight="1" spans="1:15">
      <c r="A8" s="1" t="s">
        <v>21</v>
      </c>
      <c r="B8" s="51">
        <v>24559</v>
      </c>
      <c r="C8" s="51">
        <v>28617</v>
      </c>
      <c r="D8" s="51">
        <f t="shared" ref="D8:D22" si="5">C8-B8</f>
        <v>4058</v>
      </c>
      <c r="E8" s="5">
        <f t="shared" si="0"/>
        <v>0.16523474082821</v>
      </c>
      <c r="F8" s="1" t="s">
        <v>22</v>
      </c>
      <c r="G8" s="22">
        <v>12929</v>
      </c>
      <c r="H8" s="22">
        <v>14361</v>
      </c>
      <c r="I8" s="51">
        <f t="shared" si="3"/>
        <v>1432</v>
      </c>
      <c r="J8" s="5">
        <f t="shared" si="1"/>
        <v>0.110758759378142</v>
      </c>
      <c r="K8" s="42" t="s">
        <v>23</v>
      </c>
      <c r="L8" s="51">
        <v>637</v>
      </c>
      <c r="M8" s="51">
        <v>602</v>
      </c>
      <c r="N8" s="51">
        <f t="shared" si="4"/>
        <v>-35</v>
      </c>
      <c r="O8" s="5">
        <f t="shared" si="2"/>
        <v>-0.0549450549450549</v>
      </c>
    </row>
    <row r="9" ht="17.25" customHeight="1" spans="1:15">
      <c r="A9" s="1" t="s">
        <v>24</v>
      </c>
      <c r="B9" s="51">
        <v>9741</v>
      </c>
      <c r="C9" s="51">
        <v>15314</v>
      </c>
      <c r="D9" s="51">
        <f t="shared" si="5"/>
        <v>5573</v>
      </c>
      <c r="E9" s="5">
        <f t="shared" si="0"/>
        <v>0.572117852376553</v>
      </c>
      <c r="F9" s="1" t="s">
        <v>25</v>
      </c>
      <c r="G9" s="22">
        <v>78149</v>
      </c>
      <c r="H9" s="22">
        <v>85838</v>
      </c>
      <c r="I9" s="51">
        <f t="shared" si="3"/>
        <v>7689</v>
      </c>
      <c r="J9" s="5">
        <f t="shared" si="1"/>
        <v>0.0983889749069086</v>
      </c>
      <c r="K9" s="42" t="s">
        <v>26</v>
      </c>
      <c r="L9" s="51">
        <v>569</v>
      </c>
      <c r="M9" s="51">
        <v>655</v>
      </c>
      <c r="N9" s="51">
        <f t="shared" si="4"/>
        <v>86</v>
      </c>
      <c r="O9" s="5">
        <f t="shared" si="2"/>
        <v>0.151142355008787</v>
      </c>
    </row>
    <row r="10" ht="17.25" customHeight="1" spans="1:15">
      <c r="A10" s="1" t="s">
        <v>27</v>
      </c>
      <c r="B10" s="51">
        <v>125</v>
      </c>
      <c r="C10" s="51">
        <v>40</v>
      </c>
      <c r="D10" s="51">
        <f t="shared" si="5"/>
        <v>-85</v>
      </c>
      <c r="E10" s="5">
        <f t="shared" si="0"/>
        <v>-0.68</v>
      </c>
      <c r="F10" s="1" t="s">
        <v>28</v>
      </c>
      <c r="G10" s="22">
        <v>2831</v>
      </c>
      <c r="H10" s="22">
        <v>3225</v>
      </c>
      <c r="I10" s="51">
        <f t="shared" si="3"/>
        <v>394</v>
      </c>
      <c r="J10" s="5">
        <f t="shared" si="1"/>
        <v>0.139173436948075</v>
      </c>
      <c r="K10" s="42" t="s">
        <v>196</v>
      </c>
      <c r="L10" s="51">
        <v>182</v>
      </c>
      <c r="M10" s="51">
        <v>111</v>
      </c>
      <c r="N10" s="51">
        <f t="shared" si="4"/>
        <v>-71</v>
      </c>
      <c r="O10" s="5">
        <f t="shared" si="2"/>
        <v>-0.39010989010989</v>
      </c>
    </row>
    <row r="11" ht="17.25" customHeight="1" spans="1:15">
      <c r="A11" s="1" t="s">
        <v>30</v>
      </c>
      <c r="B11" s="51">
        <v>9564</v>
      </c>
      <c r="C11" s="51">
        <v>16748</v>
      </c>
      <c r="D11" s="51">
        <f t="shared" si="5"/>
        <v>7184</v>
      </c>
      <c r="E11" s="5">
        <f t="shared" si="0"/>
        <v>0.751150146382267</v>
      </c>
      <c r="F11" s="1" t="s">
        <v>208</v>
      </c>
      <c r="G11" s="22">
        <v>3170</v>
      </c>
      <c r="H11" s="22">
        <v>3277</v>
      </c>
      <c r="I11" s="51">
        <f t="shared" si="3"/>
        <v>107</v>
      </c>
      <c r="J11" s="5">
        <f t="shared" si="1"/>
        <v>0.0337539432176656</v>
      </c>
      <c r="K11" s="21" t="s">
        <v>32</v>
      </c>
      <c r="L11" s="85">
        <v>5471</v>
      </c>
      <c r="M11" s="85">
        <v>3593</v>
      </c>
      <c r="N11" s="52">
        <f t="shared" si="4"/>
        <v>-1878</v>
      </c>
      <c r="O11" s="18">
        <f t="shared" si="2"/>
        <v>-0.343264485468836</v>
      </c>
    </row>
    <row r="12" ht="17.25" customHeight="1" spans="1:15">
      <c r="A12" s="1" t="s">
        <v>33</v>
      </c>
      <c r="B12" s="51">
        <v>3974</v>
      </c>
      <c r="C12" s="51">
        <v>2780</v>
      </c>
      <c r="D12" s="51">
        <f t="shared" si="5"/>
        <v>-1194</v>
      </c>
      <c r="E12" s="5">
        <f t="shared" si="0"/>
        <v>-0.30045294413689</v>
      </c>
      <c r="F12" s="1" t="s">
        <v>34</v>
      </c>
      <c r="G12" s="22">
        <v>32787</v>
      </c>
      <c r="H12" s="22">
        <v>38199</v>
      </c>
      <c r="I12" s="51">
        <f t="shared" si="3"/>
        <v>5412</v>
      </c>
      <c r="J12" s="5">
        <f t="shared" si="1"/>
        <v>0.165065422271022</v>
      </c>
      <c r="K12" s="21" t="s">
        <v>35</v>
      </c>
      <c r="L12" s="85">
        <v>10336</v>
      </c>
      <c r="M12" s="85">
        <v>14427</v>
      </c>
      <c r="N12" s="85">
        <f t="shared" si="4"/>
        <v>4091</v>
      </c>
      <c r="O12" s="18">
        <f t="shared" si="2"/>
        <v>0.395801083591331</v>
      </c>
    </row>
    <row r="13" ht="17.25" customHeight="1" spans="1:15">
      <c r="A13" s="1" t="s">
        <v>36</v>
      </c>
      <c r="B13" s="51">
        <v>3610</v>
      </c>
      <c r="C13" s="51">
        <v>2273</v>
      </c>
      <c r="D13" s="51">
        <f t="shared" si="5"/>
        <v>-1337</v>
      </c>
      <c r="E13" s="5">
        <f t="shared" si="0"/>
        <v>-0.370360110803324</v>
      </c>
      <c r="F13" s="1" t="s">
        <v>209</v>
      </c>
      <c r="G13" s="22">
        <v>49814</v>
      </c>
      <c r="H13" s="22">
        <v>27830</v>
      </c>
      <c r="I13" s="51">
        <f t="shared" si="3"/>
        <v>-21984</v>
      </c>
      <c r="J13" s="5">
        <f t="shared" si="1"/>
        <v>-0.441321716786446</v>
      </c>
      <c r="K13" s="21" t="s">
        <v>181</v>
      </c>
      <c r="L13" s="85">
        <v>36</v>
      </c>
      <c r="M13" s="85"/>
      <c r="N13" s="85"/>
      <c r="O13" s="18"/>
    </row>
    <row r="14" ht="17.25" customHeight="1" spans="1:15">
      <c r="A14" s="1" t="s">
        <v>39</v>
      </c>
      <c r="B14" s="51">
        <v>3304</v>
      </c>
      <c r="C14" s="51">
        <v>3904</v>
      </c>
      <c r="D14" s="51">
        <f t="shared" si="5"/>
        <v>600</v>
      </c>
      <c r="E14" s="5">
        <f t="shared" si="0"/>
        <v>0.181598062953995</v>
      </c>
      <c r="F14" s="1" t="s">
        <v>40</v>
      </c>
      <c r="G14" s="22">
        <v>10223</v>
      </c>
      <c r="H14" s="22">
        <v>12490</v>
      </c>
      <c r="I14" s="51">
        <f t="shared" si="3"/>
        <v>2267</v>
      </c>
      <c r="J14" s="5">
        <f t="shared" si="1"/>
        <v>0.221754866477551</v>
      </c>
      <c r="K14" s="21" t="s">
        <v>182</v>
      </c>
      <c r="L14" s="85"/>
      <c r="M14" s="85">
        <v>5000</v>
      </c>
      <c r="N14" s="85"/>
      <c r="O14" s="18"/>
    </row>
    <row r="15" ht="17.25" customHeight="1" spans="1:15">
      <c r="A15" s="1" t="s">
        <v>42</v>
      </c>
      <c r="B15" s="51">
        <v>1884</v>
      </c>
      <c r="C15" s="51">
        <v>2495</v>
      </c>
      <c r="D15" s="51">
        <f t="shared" si="5"/>
        <v>611</v>
      </c>
      <c r="E15" s="5">
        <f t="shared" si="0"/>
        <v>0.324309978768577</v>
      </c>
      <c r="F15" s="1" t="s">
        <v>43</v>
      </c>
      <c r="G15" s="22">
        <v>10399</v>
      </c>
      <c r="H15" s="22">
        <v>12013</v>
      </c>
      <c r="I15" s="51">
        <f t="shared" si="3"/>
        <v>1614</v>
      </c>
      <c r="J15" s="5">
        <f t="shared" si="1"/>
        <v>0.155207231464564</v>
      </c>
      <c r="K15" s="46" t="s">
        <v>41</v>
      </c>
      <c r="L15" s="85">
        <f>SUM(L12,L11,L5,L13)</f>
        <v>78074</v>
      </c>
      <c r="M15" s="85">
        <f>SUM(M12,M11,M5,M13,M14)</f>
        <v>112531</v>
      </c>
      <c r="N15" s="85">
        <f>M15-L15</f>
        <v>34457</v>
      </c>
      <c r="O15" s="18">
        <f>N15/L15</f>
        <v>0.44133770525399</v>
      </c>
    </row>
    <row r="16" ht="17.25" customHeight="1" spans="1:15">
      <c r="A16" s="1" t="s">
        <v>45</v>
      </c>
      <c r="B16" s="51">
        <v>1099</v>
      </c>
      <c r="C16" s="51">
        <v>1567</v>
      </c>
      <c r="D16" s="51">
        <f t="shared" si="5"/>
        <v>468</v>
      </c>
      <c r="E16" s="5">
        <f t="shared" si="0"/>
        <v>0.425841674249318</v>
      </c>
      <c r="F16" s="1" t="s">
        <v>46</v>
      </c>
      <c r="G16" s="22">
        <v>51379</v>
      </c>
      <c r="H16" s="22">
        <v>52197</v>
      </c>
      <c r="I16" s="51">
        <f t="shared" si="3"/>
        <v>818</v>
      </c>
      <c r="J16" s="5">
        <f t="shared" si="1"/>
        <v>0.0159209015356469</v>
      </c>
      <c r="K16" s="9" t="s">
        <v>44</v>
      </c>
      <c r="L16" s="10"/>
      <c r="M16" s="10"/>
      <c r="N16" s="10"/>
      <c r="O16" s="11"/>
    </row>
    <row r="17" ht="17.25" customHeight="1" spans="1:15">
      <c r="A17" s="1" t="s">
        <v>47</v>
      </c>
      <c r="B17" s="51">
        <v>2513</v>
      </c>
      <c r="C17" s="51">
        <v>2960</v>
      </c>
      <c r="D17" s="51">
        <f t="shared" si="5"/>
        <v>447</v>
      </c>
      <c r="E17" s="5">
        <f t="shared" si="0"/>
        <v>0.177875049741345</v>
      </c>
      <c r="F17" s="1" t="s">
        <v>48</v>
      </c>
      <c r="G17" s="22">
        <v>7672</v>
      </c>
      <c r="H17" s="22">
        <v>16349</v>
      </c>
      <c r="I17" s="51">
        <f t="shared" si="3"/>
        <v>8677</v>
      </c>
      <c r="J17" s="5">
        <f t="shared" si="1"/>
        <v>1.13099582898853</v>
      </c>
      <c r="K17" s="15" t="s">
        <v>6</v>
      </c>
      <c r="L17" s="15" t="s">
        <v>206</v>
      </c>
      <c r="M17" s="15" t="s">
        <v>207</v>
      </c>
      <c r="N17" s="15" t="s">
        <v>11</v>
      </c>
      <c r="O17" s="15" t="s">
        <v>10</v>
      </c>
    </row>
    <row r="18" ht="17.25" customHeight="1" spans="1:15">
      <c r="A18" s="1" t="s">
        <v>50</v>
      </c>
      <c r="B18" s="51">
        <v>5711</v>
      </c>
      <c r="C18" s="51">
        <v>6979</v>
      </c>
      <c r="D18" s="51">
        <f t="shared" si="5"/>
        <v>1268</v>
      </c>
      <c r="E18" s="5">
        <f t="shared" si="0"/>
        <v>0.222027665907897</v>
      </c>
      <c r="F18" s="1" t="s">
        <v>51</v>
      </c>
      <c r="G18" s="22">
        <v>4939</v>
      </c>
      <c r="H18" s="22">
        <v>13849</v>
      </c>
      <c r="I18" s="51">
        <f t="shared" si="3"/>
        <v>8910</v>
      </c>
      <c r="J18" s="5">
        <f t="shared" si="1"/>
        <v>1.80400890868597</v>
      </c>
      <c r="K18" s="46" t="s">
        <v>49</v>
      </c>
      <c r="L18" s="52">
        <f>SUM(L19:L30)</f>
        <v>35744</v>
      </c>
      <c r="M18" s="52">
        <f>SUM(M19:M30)</f>
        <v>69882</v>
      </c>
      <c r="N18" s="88">
        <f>SUM(N19:N30)</f>
        <v>34138</v>
      </c>
      <c r="O18" s="18">
        <f t="shared" ref="O18:O25" si="6">N18/L18</f>
        <v>0.955069382273948</v>
      </c>
    </row>
    <row r="19" ht="17.25" customHeight="1" spans="1:15">
      <c r="A19" s="1" t="s">
        <v>53</v>
      </c>
      <c r="B19" s="51">
        <v>1277</v>
      </c>
      <c r="C19" s="51">
        <v>1466</v>
      </c>
      <c r="D19" s="51">
        <f t="shared" si="5"/>
        <v>189</v>
      </c>
      <c r="E19" s="5">
        <f t="shared" si="0"/>
        <v>0.148003132341425</v>
      </c>
      <c r="F19" s="1" t="s">
        <v>54</v>
      </c>
      <c r="G19" s="22">
        <v>1480</v>
      </c>
      <c r="H19" s="22">
        <v>1931</v>
      </c>
      <c r="I19" s="51">
        <f t="shared" si="3"/>
        <v>451</v>
      </c>
      <c r="J19" s="5">
        <f t="shared" si="1"/>
        <v>0.30472972972973</v>
      </c>
      <c r="K19" s="42" t="s">
        <v>52</v>
      </c>
      <c r="L19" s="51">
        <v>560</v>
      </c>
      <c r="M19" s="51">
        <v>805</v>
      </c>
      <c r="N19" s="51">
        <f t="shared" ref="N19:N33" si="7">M19-L19</f>
        <v>245</v>
      </c>
      <c r="O19" s="5">
        <f t="shared" si="6"/>
        <v>0.4375</v>
      </c>
    </row>
    <row r="20" ht="17.25" customHeight="1" spans="1:15">
      <c r="A20" s="1" t="s">
        <v>56</v>
      </c>
      <c r="B20" s="51"/>
      <c r="C20" s="51">
        <v>140</v>
      </c>
      <c r="D20" s="51">
        <f t="shared" si="5"/>
        <v>140</v>
      </c>
      <c r="E20" s="5"/>
      <c r="F20" s="1" t="s">
        <v>57</v>
      </c>
      <c r="G20" s="22"/>
      <c r="H20" s="22">
        <v>37</v>
      </c>
      <c r="I20" s="51">
        <f t="shared" si="3"/>
        <v>37</v>
      </c>
      <c r="J20" s="5"/>
      <c r="K20" s="81" t="s">
        <v>55</v>
      </c>
      <c r="L20" s="51">
        <v>27313</v>
      </c>
      <c r="M20" s="51">
        <v>63327</v>
      </c>
      <c r="N20" s="51">
        <f t="shared" si="7"/>
        <v>36014</v>
      </c>
      <c r="O20" s="5">
        <f t="shared" si="6"/>
        <v>1.31856625050342</v>
      </c>
    </row>
    <row r="21" ht="17.25" customHeight="1" spans="1:15">
      <c r="A21" s="1" t="s">
        <v>59</v>
      </c>
      <c r="B21" s="51">
        <v>546</v>
      </c>
      <c r="C21" s="51">
        <v>773</v>
      </c>
      <c r="D21" s="51">
        <f t="shared" si="5"/>
        <v>227</v>
      </c>
      <c r="E21" s="5">
        <f t="shared" si="0"/>
        <v>0.415750915750916</v>
      </c>
      <c r="F21" s="1" t="s">
        <v>210</v>
      </c>
      <c r="G21" s="22">
        <v>3777</v>
      </c>
      <c r="H21" s="22">
        <v>1680</v>
      </c>
      <c r="I21" s="51">
        <f t="shared" si="3"/>
        <v>-2097</v>
      </c>
      <c r="J21" s="5">
        <f t="shared" si="1"/>
        <v>-0.555202541699762</v>
      </c>
      <c r="K21" s="42" t="s">
        <v>211</v>
      </c>
      <c r="L21" s="51">
        <v>14</v>
      </c>
      <c r="M21" s="51">
        <v>4</v>
      </c>
      <c r="N21" s="51">
        <f t="shared" si="7"/>
        <v>-10</v>
      </c>
      <c r="O21" s="5">
        <f t="shared" si="6"/>
        <v>-0.714285714285714</v>
      </c>
    </row>
    <row r="22" ht="17.25" customHeight="1" spans="1:15">
      <c r="A22" s="1" t="s">
        <v>62</v>
      </c>
      <c r="B22" s="51">
        <v>3254</v>
      </c>
      <c r="C22" s="51">
        <v>4117</v>
      </c>
      <c r="D22" s="51">
        <f t="shared" si="5"/>
        <v>863</v>
      </c>
      <c r="E22" s="5">
        <f t="shared" si="0"/>
        <v>0.265212046711739</v>
      </c>
      <c r="F22" s="1" t="s">
        <v>63</v>
      </c>
      <c r="G22" s="22">
        <v>8969</v>
      </c>
      <c r="H22" s="22">
        <v>2342</v>
      </c>
      <c r="I22" s="51">
        <f t="shared" si="3"/>
        <v>-6627</v>
      </c>
      <c r="J22" s="5">
        <f t="shared" si="1"/>
        <v>-0.738878358791393</v>
      </c>
      <c r="K22" s="42" t="s">
        <v>61</v>
      </c>
      <c r="L22" s="51">
        <v>1660</v>
      </c>
      <c r="M22" s="51">
        <v>1576</v>
      </c>
      <c r="N22" s="51">
        <f t="shared" si="7"/>
        <v>-84</v>
      </c>
      <c r="O22" s="5">
        <f t="shared" si="6"/>
        <v>-0.0506024096385542</v>
      </c>
    </row>
    <row r="23" ht="17.25" customHeight="1" spans="1:15">
      <c r="A23" s="21" t="s">
        <v>68</v>
      </c>
      <c r="B23" s="52">
        <f>SUM(B24,B26:B31)</f>
        <v>39867</v>
      </c>
      <c r="C23" s="52">
        <f>SUM(C24,C26:C31)</f>
        <v>32497</v>
      </c>
      <c r="D23" s="52">
        <f>SUM(D24,D26:D31)</f>
        <v>-7370</v>
      </c>
      <c r="E23" s="18">
        <f t="shared" si="0"/>
        <v>-0.184864675044523</v>
      </c>
      <c r="F23" s="1" t="s">
        <v>66</v>
      </c>
      <c r="G23" s="22">
        <v>1546</v>
      </c>
      <c r="H23" s="22">
        <v>957</v>
      </c>
      <c r="I23" s="51">
        <f t="shared" si="3"/>
        <v>-589</v>
      </c>
      <c r="J23" s="5">
        <f t="shared" si="1"/>
        <v>-0.38098318240621</v>
      </c>
      <c r="K23" s="42" t="s">
        <v>64</v>
      </c>
      <c r="L23" s="51">
        <v>588</v>
      </c>
      <c r="M23" s="51">
        <v>590</v>
      </c>
      <c r="N23" s="51">
        <f t="shared" si="7"/>
        <v>2</v>
      </c>
      <c r="O23" s="5">
        <f t="shared" si="6"/>
        <v>0.00340136054421769</v>
      </c>
    </row>
    <row r="24" ht="17.25" customHeight="1" spans="1:15">
      <c r="A24" s="21" t="s">
        <v>71</v>
      </c>
      <c r="B24" s="51">
        <v>4732</v>
      </c>
      <c r="C24" s="51">
        <v>9665</v>
      </c>
      <c r="D24" s="51">
        <f t="shared" ref="D24:D39" si="8">C24-B24</f>
        <v>4933</v>
      </c>
      <c r="E24" s="5">
        <f t="shared" si="0"/>
        <v>1.04247675401522</v>
      </c>
      <c r="F24" s="1" t="s">
        <v>212</v>
      </c>
      <c r="G24" s="22">
        <v>10649</v>
      </c>
      <c r="H24" s="22">
        <v>13767</v>
      </c>
      <c r="I24" s="51">
        <f t="shared" si="3"/>
        <v>3118</v>
      </c>
      <c r="J24" s="5">
        <f t="shared" si="1"/>
        <v>0.292797445769556</v>
      </c>
      <c r="K24" s="42" t="s">
        <v>183</v>
      </c>
      <c r="L24" s="51">
        <v>40</v>
      </c>
      <c r="M24" s="51">
        <v>112</v>
      </c>
      <c r="N24" s="51">
        <f t="shared" si="7"/>
        <v>72</v>
      </c>
      <c r="O24" s="5">
        <f t="shared" si="6"/>
        <v>1.8</v>
      </c>
    </row>
    <row r="25" ht="17.25" customHeight="1" spans="1:15">
      <c r="A25" s="1" t="s">
        <v>74</v>
      </c>
      <c r="B25" s="51">
        <v>2375</v>
      </c>
      <c r="C25" s="51">
        <v>2934</v>
      </c>
      <c r="D25" s="51">
        <f t="shared" si="8"/>
        <v>559</v>
      </c>
      <c r="E25" s="5">
        <f t="shared" si="0"/>
        <v>0.235368421052632</v>
      </c>
      <c r="F25" s="1" t="s">
        <v>213</v>
      </c>
      <c r="G25" s="22">
        <v>722</v>
      </c>
      <c r="H25" s="22">
        <v>250</v>
      </c>
      <c r="I25" s="51">
        <f t="shared" si="3"/>
        <v>-472</v>
      </c>
      <c r="J25" s="5">
        <f t="shared" si="1"/>
        <v>-0.653739612188366</v>
      </c>
      <c r="K25" s="81" t="s">
        <v>70</v>
      </c>
      <c r="L25" s="51">
        <v>2250</v>
      </c>
      <c r="M25" s="51">
        <v>1215</v>
      </c>
      <c r="N25" s="51">
        <f t="shared" si="7"/>
        <v>-1035</v>
      </c>
      <c r="O25" s="5">
        <f t="shared" si="6"/>
        <v>-0.46</v>
      </c>
    </row>
    <row r="26" ht="17.25" customHeight="1" spans="1:15">
      <c r="A26" s="1" t="s">
        <v>77</v>
      </c>
      <c r="B26" s="51">
        <v>6382</v>
      </c>
      <c r="C26" s="51">
        <v>3427</v>
      </c>
      <c r="D26" s="51">
        <f t="shared" si="8"/>
        <v>-2955</v>
      </c>
      <c r="E26" s="5">
        <f t="shared" si="0"/>
        <v>-0.463020996552805</v>
      </c>
      <c r="F26" s="26" t="s">
        <v>78</v>
      </c>
      <c r="G26" s="69">
        <f>SUM(G27:G28)</f>
        <v>4089</v>
      </c>
      <c r="H26" s="69">
        <f>SUM(H27:H28)</f>
        <v>6419</v>
      </c>
      <c r="I26" s="52">
        <f t="shared" si="3"/>
        <v>2330</v>
      </c>
      <c r="J26" s="18">
        <f t="shared" si="1"/>
        <v>0.569821472242602</v>
      </c>
      <c r="K26" s="42" t="s">
        <v>73</v>
      </c>
      <c r="L26" s="51">
        <v>2212</v>
      </c>
      <c r="M26" s="51">
        <v>1585</v>
      </c>
      <c r="N26" s="51">
        <f t="shared" si="7"/>
        <v>-627</v>
      </c>
      <c r="O26" s="5">
        <f t="shared" ref="O26:O34" si="9">N26/L26</f>
        <v>-0.283453887884268</v>
      </c>
    </row>
    <row r="27" ht="17.25" customHeight="1" spans="1:15">
      <c r="A27" s="1" t="s">
        <v>80</v>
      </c>
      <c r="B27" s="51">
        <v>2673</v>
      </c>
      <c r="C27" s="51">
        <v>4483</v>
      </c>
      <c r="D27" s="51">
        <f t="shared" si="8"/>
        <v>1810</v>
      </c>
      <c r="E27" s="5">
        <f t="shared" si="0"/>
        <v>0.677141788252899</v>
      </c>
      <c r="F27" s="1" t="s">
        <v>81</v>
      </c>
      <c r="G27" s="22">
        <v>2861</v>
      </c>
      <c r="H27" s="22">
        <v>2647</v>
      </c>
      <c r="I27" s="51">
        <f t="shared" si="3"/>
        <v>-214</v>
      </c>
      <c r="J27" s="5">
        <f t="shared" ref="J27:J34" si="10">I27/G27</f>
        <v>-0.0747990213212164</v>
      </c>
      <c r="K27" s="42" t="s">
        <v>214</v>
      </c>
      <c r="L27" s="51">
        <v>50</v>
      </c>
      <c r="M27" s="51"/>
      <c r="N27" s="51">
        <f t="shared" si="7"/>
        <v>-50</v>
      </c>
      <c r="O27" s="5"/>
    </row>
    <row r="28" ht="17.25" customHeight="1" spans="1:15">
      <c r="A28" s="1" t="s">
        <v>83</v>
      </c>
      <c r="B28" s="51">
        <v>18450</v>
      </c>
      <c r="C28" s="51">
        <v>184</v>
      </c>
      <c r="D28" s="51">
        <f t="shared" si="8"/>
        <v>-18266</v>
      </c>
      <c r="E28" s="5">
        <f t="shared" si="0"/>
        <v>-0.990027100271003</v>
      </c>
      <c r="F28" s="1" t="s">
        <v>84</v>
      </c>
      <c r="G28" s="22">
        <v>1228</v>
      </c>
      <c r="H28" s="22">
        <v>3772</v>
      </c>
      <c r="I28" s="51">
        <f t="shared" si="3"/>
        <v>2544</v>
      </c>
      <c r="J28" s="5">
        <f t="shared" si="10"/>
        <v>2.07166123778502</v>
      </c>
      <c r="K28" s="42" t="s">
        <v>185</v>
      </c>
      <c r="L28" s="51">
        <v>506</v>
      </c>
      <c r="M28" s="51">
        <v>111</v>
      </c>
      <c r="N28" s="51">
        <f t="shared" si="7"/>
        <v>-395</v>
      </c>
      <c r="O28" s="5">
        <f t="shared" si="9"/>
        <v>-0.780632411067194</v>
      </c>
    </row>
    <row r="29" ht="17.25" customHeight="1" spans="1:15">
      <c r="A29" s="1" t="s">
        <v>86</v>
      </c>
      <c r="B29" s="51">
        <v>1009</v>
      </c>
      <c r="C29" s="51">
        <v>1216</v>
      </c>
      <c r="D29" s="51">
        <f t="shared" si="8"/>
        <v>207</v>
      </c>
      <c r="E29" s="5">
        <f t="shared" si="0"/>
        <v>0.205153617443013</v>
      </c>
      <c r="F29" s="26" t="s">
        <v>87</v>
      </c>
      <c r="G29" s="19">
        <v>64856</v>
      </c>
      <c r="H29" s="19">
        <v>49705</v>
      </c>
      <c r="I29" s="88">
        <f t="shared" si="3"/>
        <v>-15151</v>
      </c>
      <c r="J29" s="103">
        <f t="shared" si="10"/>
        <v>-0.233609843345257</v>
      </c>
      <c r="K29" s="42" t="s">
        <v>197</v>
      </c>
      <c r="L29" s="51">
        <v>551</v>
      </c>
      <c r="M29" s="51">
        <v>551</v>
      </c>
      <c r="N29" s="51">
        <f t="shared" si="7"/>
        <v>0</v>
      </c>
      <c r="O29" s="5">
        <f t="shared" si="9"/>
        <v>0</v>
      </c>
    </row>
    <row r="30" ht="17.25" customHeight="1" spans="1:15">
      <c r="A30" s="1" t="s">
        <v>89</v>
      </c>
      <c r="B30" s="51">
        <v>55</v>
      </c>
      <c r="C30" s="51">
        <v>45</v>
      </c>
      <c r="D30" s="51">
        <f t="shared" si="8"/>
        <v>-10</v>
      </c>
      <c r="E30" s="5">
        <f t="shared" si="0"/>
        <v>-0.181818181818182</v>
      </c>
      <c r="F30" s="26" t="s">
        <v>90</v>
      </c>
      <c r="G30" s="19">
        <v>10230</v>
      </c>
      <c r="H30" s="19">
        <v>10370</v>
      </c>
      <c r="I30" s="52">
        <f t="shared" si="3"/>
        <v>140</v>
      </c>
      <c r="J30" s="97">
        <f t="shared" si="10"/>
        <v>0.0136852394916911</v>
      </c>
      <c r="K30" s="42" t="s">
        <v>198</v>
      </c>
      <c r="L30" s="51"/>
      <c r="M30" s="51">
        <v>6</v>
      </c>
      <c r="N30" s="51">
        <f t="shared" si="7"/>
        <v>6</v>
      </c>
      <c r="O30" s="5"/>
    </row>
    <row r="31" ht="17.25" customHeight="1" spans="1:15">
      <c r="A31" s="1" t="s">
        <v>92</v>
      </c>
      <c r="B31" s="51">
        <v>6566</v>
      </c>
      <c r="C31" s="51">
        <v>13477</v>
      </c>
      <c r="D31" s="51">
        <f t="shared" si="8"/>
        <v>6911</v>
      </c>
      <c r="E31" s="5">
        <f t="shared" ref="E31:E39" si="11">D31/B31</f>
        <v>1.05254340542187</v>
      </c>
      <c r="F31" s="26" t="s">
        <v>93</v>
      </c>
      <c r="G31" s="19"/>
      <c r="H31" s="19">
        <v>400</v>
      </c>
      <c r="I31" s="52"/>
      <c r="J31" s="97"/>
      <c r="K31" s="16" t="s">
        <v>82</v>
      </c>
      <c r="L31" s="51">
        <v>27903</v>
      </c>
      <c r="M31" s="51">
        <v>41478</v>
      </c>
      <c r="N31" s="51">
        <f t="shared" si="7"/>
        <v>13575</v>
      </c>
      <c r="O31" s="5">
        <f t="shared" si="9"/>
        <v>0.486506827222879</v>
      </c>
    </row>
    <row r="32" ht="17.25" customHeight="1" spans="1:15">
      <c r="A32" s="28" t="s">
        <v>94</v>
      </c>
      <c r="B32" s="52">
        <f>SUM(B33:B35)</f>
        <v>167572</v>
      </c>
      <c r="C32" s="52">
        <f>SUM(C33:C35)</f>
        <v>138666</v>
      </c>
      <c r="D32" s="88">
        <f t="shared" si="8"/>
        <v>-28906</v>
      </c>
      <c r="E32" s="18">
        <f t="shared" si="11"/>
        <v>-0.172498985510706</v>
      </c>
      <c r="F32" s="21" t="s">
        <v>199</v>
      </c>
      <c r="G32" s="19">
        <v>16495</v>
      </c>
      <c r="H32" s="19">
        <v>1890</v>
      </c>
      <c r="I32" s="88">
        <f t="shared" si="3"/>
        <v>-14605</v>
      </c>
      <c r="J32" s="18">
        <f t="shared" si="10"/>
        <v>-0.885419824189148</v>
      </c>
      <c r="K32" s="16" t="s">
        <v>85</v>
      </c>
      <c r="L32" s="51"/>
      <c r="M32" s="51">
        <v>22</v>
      </c>
      <c r="N32" s="51">
        <f t="shared" si="7"/>
        <v>22</v>
      </c>
      <c r="O32" s="5"/>
    </row>
    <row r="33" ht="17.25" customHeight="1" spans="1:15">
      <c r="A33" s="29" t="s">
        <v>96</v>
      </c>
      <c r="B33" s="51">
        <v>10690</v>
      </c>
      <c r="C33" s="51">
        <v>10690</v>
      </c>
      <c r="D33" s="51">
        <f t="shared" si="8"/>
        <v>0</v>
      </c>
      <c r="E33" s="5">
        <f t="shared" si="11"/>
        <v>0</v>
      </c>
      <c r="F33" s="1" t="s">
        <v>100</v>
      </c>
      <c r="G33" s="22">
        <v>16495</v>
      </c>
      <c r="H33" s="22">
        <v>1890</v>
      </c>
      <c r="I33" s="51">
        <f t="shared" si="3"/>
        <v>-14605</v>
      </c>
      <c r="J33" s="5">
        <f t="shared" si="10"/>
        <v>-0.885419824189148</v>
      </c>
      <c r="K33" s="21" t="s">
        <v>88</v>
      </c>
      <c r="L33" s="41">
        <v>14427</v>
      </c>
      <c r="M33" s="41">
        <v>1149</v>
      </c>
      <c r="N33" s="105">
        <f t="shared" si="7"/>
        <v>-13278</v>
      </c>
      <c r="O33" s="18">
        <f t="shared" si="9"/>
        <v>-0.920357662715741</v>
      </c>
    </row>
    <row r="34" ht="17.25" customHeight="1" spans="1:15">
      <c r="A34" s="29" t="s">
        <v>99</v>
      </c>
      <c r="B34" s="51">
        <v>80056</v>
      </c>
      <c r="C34" s="51">
        <v>70091</v>
      </c>
      <c r="D34" s="51">
        <f t="shared" si="8"/>
        <v>-9965</v>
      </c>
      <c r="E34" s="5">
        <f t="shared" si="11"/>
        <v>-0.12447536724293</v>
      </c>
      <c r="F34" s="21" t="s">
        <v>103</v>
      </c>
      <c r="G34" s="52">
        <f>SUM(G5,G26,G29:G32)</f>
        <v>416307</v>
      </c>
      <c r="H34" s="52">
        <f>SUM(H5,H26,H29:H32)</f>
        <v>398738</v>
      </c>
      <c r="I34" s="88">
        <f t="shared" si="3"/>
        <v>-17569</v>
      </c>
      <c r="J34" s="18">
        <f t="shared" si="10"/>
        <v>-0.0422020287912526</v>
      </c>
      <c r="K34" s="21" t="s">
        <v>91</v>
      </c>
      <c r="L34" s="52">
        <f>SUM(L18,L31:L33)</f>
        <v>78074</v>
      </c>
      <c r="M34" s="52">
        <f>SUM(M18,M31:M33)</f>
        <v>112531</v>
      </c>
      <c r="N34" s="52">
        <f>SUM(N18,N33:N33)</f>
        <v>20860</v>
      </c>
      <c r="O34" s="18">
        <f t="shared" si="9"/>
        <v>0.26718241668161</v>
      </c>
    </row>
    <row r="35" ht="17.25" customHeight="1" spans="1:15">
      <c r="A35" s="29" t="s">
        <v>102</v>
      </c>
      <c r="B35" s="51">
        <v>76826</v>
      </c>
      <c r="C35" s="51">
        <v>57885</v>
      </c>
      <c r="D35" s="51">
        <f t="shared" si="8"/>
        <v>-18941</v>
      </c>
      <c r="E35" s="5">
        <f t="shared" si="11"/>
        <v>-0.246544138703043</v>
      </c>
      <c r="F35" s="30" t="s">
        <v>106</v>
      </c>
      <c r="G35" s="31"/>
      <c r="H35" s="31"/>
      <c r="I35" s="31"/>
      <c r="J35" s="48"/>
      <c r="K35" s="93" t="s">
        <v>98</v>
      </c>
      <c r="L35" s="94"/>
      <c r="M35" s="94"/>
      <c r="N35" s="94"/>
      <c r="O35" s="95"/>
    </row>
    <row r="36" ht="17.25" customHeight="1" spans="1:15">
      <c r="A36" s="33" t="s">
        <v>105</v>
      </c>
      <c r="B36" s="52">
        <v>7954</v>
      </c>
      <c r="C36" s="52">
        <v>16495</v>
      </c>
      <c r="D36" s="52">
        <f t="shared" si="8"/>
        <v>8541</v>
      </c>
      <c r="E36" s="18">
        <f t="shared" si="11"/>
        <v>1.07379934624089</v>
      </c>
      <c r="F36" s="15" t="s">
        <v>6</v>
      </c>
      <c r="G36" s="15" t="s">
        <v>206</v>
      </c>
      <c r="H36" s="15" t="s">
        <v>207</v>
      </c>
      <c r="I36" s="15" t="s">
        <v>9</v>
      </c>
      <c r="J36" s="15" t="s">
        <v>10</v>
      </c>
      <c r="K36" s="15" t="s">
        <v>6</v>
      </c>
      <c r="L36" s="15" t="s">
        <v>206</v>
      </c>
      <c r="M36" s="15" t="s">
        <v>207</v>
      </c>
      <c r="N36" s="15" t="s">
        <v>9</v>
      </c>
      <c r="O36" s="15" t="s">
        <v>10</v>
      </c>
    </row>
    <row r="37" ht="17.25" customHeight="1" spans="1:15">
      <c r="A37" s="33" t="s">
        <v>108</v>
      </c>
      <c r="B37" s="52">
        <v>80470</v>
      </c>
      <c r="C37" s="52">
        <v>60972</v>
      </c>
      <c r="D37" s="88">
        <f t="shared" si="8"/>
        <v>-19498</v>
      </c>
      <c r="E37" s="18">
        <f t="shared" si="11"/>
        <v>-0.24230147881198</v>
      </c>
      <c r="F37" s="21" t="s">
        <v>12</v>
      </c>
      <c r="G37" s="52">
        <f>B5</f>
        <v>111028</v>
      </c>
      <c r="H37" s="52">
        <f>C5</f>
        <v>122670</v>
      </c>
      <c r="I37" s="52">
        <f>H37-G37</f>
        <v>11642</v>
      </c>
      <c r="J37" s="18">
        <f t="shared" ref="J37:J44" si="12">I37/G37</f>
        <v>0.104856432611593</v>
      </c>
      <c r="K37" s="21" t="s">
        <v>104</v>
      </c>
      <c r="L37" s="45">
        <v>68</v>
      </c>
      <c r="M37" s="45">
        <v>157</v>
      </c>
      <c r="N37" s="52">
        <f>M37-L37</f>
        <v>89</v>
      </c>
      <c r="O37" s="18">
        <f>N37/L37</f>
        <v>1.30882352941176</v>
      </c>
    </row>
    <row r="38" ht="17.25" customHeight="1" spans="1:15">
      <c r="A38" s="87" t="s">
        <v>110</v>
      </c>
      <c r="B38" s="52">
        <v>12503</v>
      </c>
      <c r="C38" s="52">
        <v>10230</v>
      </c>
      <c r="D38" s="52">
        <f t="shared" si="8"/>
        <v>-2273</v>
      </c>
      <c r="E38" s="18">
        <f t="shared" si="11"/>
        <v>-0.181796368871471</v>
      </c>
      <c r="F38" s="34" t="s">
        <v>113</v>
      </c>
      <c r="G38" s="52">
        <f>SUM(G39:G43)</f>
        <v>60080.5</v>
      </c>
      <c r="H38" s="52">
        <f>SUM(H39:H43)</f>
        <v>79444</v>
      </c>
      <c r="I38" s="52">
        <f>SUM(I39:I43)</f>
        <v>19363.5</v>
      </c>
      <c r="J38" s="18">
        <f t="shared" si="12"/>
        <v>0.322292590774045</v>
      </c>
      <c r="K38" s="21" t="s">
        <v>109</v>
      </c>
      <c r="L38" s="45">
        <v>57</v>
      </c>
      <c r="M38" s="45">
        <v>53</v>
      </c>
      <c r="N38" s="52">
        <f>M38-L38</f>
        <v>-4</v>
      </c>
      <c r="O38" s="18">
        <f>N38/L38</f>
        <v>-0.0701754385964912</v>
      </c>
    </row>
    <row r="39" ht="17.25" customHeight="1" spans="1:15">
      <c r="A39" s="33" t="s">
        <v>112</v>
      </c>
      <c r="B39" s="52">
        <v>36780</v>
      </c>
      <c r="C39" s="52">
        <v>49705</v>
      </c>
      <c r="D39" s="52">
        <f t="shared" si="8"/>
        <v>12925</v>
      </c>
      <c r="E39" s="18">
        <f t="shared" si="11"/>
        <v>0.351413811854269</v>
      </c>
      <c r="F39" s="35" t="s">
        <v>115</v>
      </c>
      <c r="G39" s="51">
        <f>B7+B10</f>
        <v>34425</v>
      </c>
      <c r="H39" s="51">
        <f>C7+C10</f>
        <v>43971</v>
      </c>
      <c r="I39" s="51">
        <f>H39-G39</f>
        <v>9546</v>
      </c>
      <c r="J39" s="5">
        <f t="shared" si="12"/>
        <v>0.277298474945534</v>
      </c>
      <c r="K39" s="21" t="s">
        <v>114</v>
      </c>
      <c r="L39" s="45">
        <v>11</v>
      </c>
      <c r="M39" s="45">
        <v>104</v>
      </c>
      <c r="N39" s="52">
        <f>M39-L39</f>
        <v>93</v>
      </c>
      <c r="O39" s="18">
        <f>N39/L39</f>
        <v>8.45454545454546</v>
      </c>
    </row>
    <row r="40" ht="17.25" customHeight="1" spans="1:15">
      <c r="A40" s="33"/>
      <c r="B40" s="52"/>
      <c r="C40" s="52"/>
      <c r="D40" s="52"/>
      <c r="E40" s="18"/>
      <c r="F40" s="35" t="s">
        <v>117</v>
      </c>
      <c r="G40" s="51">
        <f>B11*1.5-1</f>
        <v>14345</v>
      </c>
      <c r="H40" s="51">
        <f>C11*1.5</f>
        <v>25122</v>
      </c>
      <c r="I40" s="51">
        <f>H40-G40</f>
        <v>10777</v>
      </c>
      <c r="J40" s="5">
        <f t="shared" si="12"/>
        <v>0.751272220285814</v>
      </c>
      <c r="K40" s="93" t="s">
        <v>116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118</v>
      </c>
      <c r="G41" s="51">
        <f>B12*1.5+0.5</f>
        <v>5961.5</v>
      </c>
      <c r="H41" s="51">
        <f>C12*1.5</f>
        <v>4170</v>
      </c>
      <c r="I41" s="51">
        <f>H41-G41</f>
        <v>-1791.5</v>
      </c>
      <c r="J41" s="5">
        <f t="shared" si="12"/>
        <v>-0.300511616203975</v>
      </c>
      <c r="K41" s="21" t="s">
        <v>119</v>
      </c>
      <c r="L41" s="45">
        <v>37561</v>
      </c>
      <c r="M41" s="45">
        <v>42768</v>
      </c>
      <c r="N41" s="88">
        <f>M41-L41</f>
        <v>5207</v>
      </c>
      <c r="O41" s="18">
        <f>N41/L41</f>
        <v>0.138627832059849</v>
      </c>
    </row>
    <row r="42" ht="17.25" customHeight="1" spans="1:15">
      <c r="A42" s="33"/>
      <c r="B42" s="52"/>
      <c r="C42" s="52"/>
      <c r="D42" s="52"/>
      <c r="E42" s="18"/>
      <c r="F42" s="35" t="s">
        <v>120</v>
      </c>
      <c r="G42" s="51">
        <v>115</v>
      </c>
      <c r="H42" s="51">
        <v>74</v>
      </c>
      <c r="I42" s="51">
        <f>H42-G42</f>
        <v>-41</v>
      </c>
      <c r="J42" s="5">
        <f t="shared" si="12"/>
        <v>-0.356521739130435</v>
      </c>
      <c r="K42" s="21" t="s">
        <v>121</v>
      </c>
      <c r="L42" s="45">
        <v>33590</v>
      </c>
      <c r="M42" s="45">
        <v>37807</v>
      </c>
      <c r="N42" s="88">
        <f>M42-L42</f>
        <v>4217</v>
      </c>
      <c r="O42" s="18">
        <f>N42/L42</f>
        <v>0.125543316463233</v>
      </c>
    </row>
    <row r="43" ht="18" customHeight="1" spans="1:15">
      <c r="A43" s="1"/>
      <c r="B43" s="51"/>
      <c r="C43" s="51"/>
      <c r="D43" s="51"/>
      <c r="E43" s="18"/>
      <c r="F43" s="102" t="s">
        <v>122</v>
      </c>
      <c r="G43" s="51">
        <v>5234</v>
      </c>
      <c r="H43" s="51">
        <v>6107</v>
      </c>
      <c r="I43" s="51">
        <f>H43-G43</f>
        <v>873</v>
      </c>
      <c r="J43" s="5">
        <f t="shared" si="12"/>
        <v>0.166794038975927</v>
      </c>
      <c r="K43" s="21" t="s">
        <v>123</v>
      </c>
      <c r="L43" s="45">
        <f>L41-L42</f>
        <v>3971</v>
      </c>
      <c r="M43" s="45">
        <f>M41-M42</f>
        <v>4961</v>
      </c>
      <c r="N43" s="52">
        <f>M43-L43</f>
        <v>990</v>
      </c>
      <c r="O43" s="18">
        <f>N43/L43</f>
        <v>0.249307479224377</v>
      </c>
    </row>
    <row r="44" ht="18" customHeight="1" spans="1:15">
      <c r="A44" s="28" t="s">
        <v>124</v>
      </c>
      <c r="B44" s="52">
        <f>SUM(B5,B32,B36:B39)</f>
        <v>416307</v>
      </c>
      <c r="C44" s="52">
        <f>SUM(C5,C32,C36:C39)</f>
        <v>398738</v>
      </c>
      <c r="D44" s="88">
        <f>SUM(D5,D32,D36:D39)</f>
        <v>-17569</v>
      </c>
      <c r="E44" s="18">
        <f>D44/B44</f>
        <v>-0.0422020287912526</v>
      </c>
      <c r="F44" s="36" t="s">
        <v>125</v>
      </c>
      <c r="G44" s="52">
        <f>SUM(G37:G38)</f>
        <v>171108.5</v>
      </c>
      <c r="H44" s="52">
        <f>SUM(H37:H38)</f>
        <v>202114</v>
      </c>
      <c r="I44" s="85">
        <f>SUM(I37:I38)</f>
        <v>31005.5</v>
      </c>
      <c r="J44" s="18">
        <f t="shared" si="12"/>
        <v>0.181203739147968</v>
      </c>
      <c r="K44" s="21" t="s">
        <v>126</v>
      </c>
      <c r="L44" s="45">
        <v>35683</v>
      </c>
      <c r="M44" s="45">
        <v>40644</v>
      </c>
      <c r="N44" s="88">
        <f>M44-L44</f>
        <v>4961</v>
      </c>
      <c r="O44" s="18">
        <f>N44/L44</f>
        <v>0.139029790096124</v>
      </c>
    </row>
    <row r="45" ht="21" customHeight="1" spans="1:1">
      <c r="A45" t="s">
        <v>215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6:O16"/>
    <mergeCell ref="F35:J35"/>
    <mergeCell ref="K35:O35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I31" sqref="I31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128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129</v>
      </c>
      <c r="C4" s="15" t="s">
        <v>130</v>
      </c>
      <c r="D4" s="15" t="s">
        <v>131</v>
      </c>
      <c r="E4" s="15" t="s">
        <v>132</v>
      </c>
      <c r="F4" s="15" t="s">
        <v>6</v>
      </c>
      <c r="G4" s="15" t="s">
        <v>129</v>
      </c>
      <c r="H4" s="15" t="s">
        <v>130</v>
      </c>
      <c r="I4" s="15" t="s">
        <v>131</v>
      </c>
      <c r="J4" s="15" t="s">
        <v>132</v>
      </c>
      <c r="K4" s="15" t="s">
        <v>6</v>
      </c>
      <c r="L4" s="15" t="s">
        <v>129</v>
      </c>
      <c r="M4" s="15" t="s">
        <v>130</v>
      </c>
      <c r="N4" s="15" t="s">
        <v>131</v>
      </c>
      <c r="O4" s="15" t="s">
        <v>132</v>
      </c>
    </row>
    <row r="5" ht="16.5" customHeight="1" spans="1:15">
      <c r="A5" s="21" t="s">
        <v>12</v>
      </c>
      <c r="B5" s="52">
        <f>SUM(B6,B23)</f>
        <v>113000</v>
      </c>
      <c r="C5" s="52">
        <f>SUM(C6,C23)</f>
        <v>118800</v>
      </c>
      <c r="D5" s="52">
        <f>SUM(D6,D23)</f>
        <v>122670</v>
      </c>
      <c r="E5" s="18">
        <f t="shared" ref="E5:E31" si="0">D5/C5</f>
        <v>1.03257575757576</v>
      </c>
      <c r="F5" s="21" t="s">
        <v>13</v>
      </c>
      <c r="G5" s="19">
        <f>SUM(G6:G25)</f>
        <v>213164</v>
      </c>
      <c r="H5" s="19">
        <f>SUM(H6:H25)</f>
        <v>331844</v>
      </c>
      <c r="I5" s="19">
        <f>SUM(I6:I25)</f>
        <v>329954</v>
      </c>
      <c r="J5" s="18">
        <f t="shared" ref="J5:J25" si="1">I5/H5</f>
        <v>0.99430455274165</v>
      </c>
      <c r="K5" s="16" t="s">
        <v>133</v>
      </c>
      <c r="L5" s="19">
        <f>SUM(L6:L11)</f>
        <v>87420</v>
      </c>
      <c r="M5" s="19">
        <f>SUM(M6:M11)</f>
        <v>90800</v>
      </c>
      <c r="N5" s="19">
        <f>SUM(N6:N11)</f>
        <v>89511</v>
      </c>
      <c r="O5" s="18">
        <f t="shared" ref="O5:O11" si="2">N5/M5</f>
        <v>0.985803964757709</v>
      </c>
    </row>
    <row r="6" ht="16.5" customHeight="1" spans="1:15">
      <c r="A6" s="21" t="s">
        <v>15</v>
      </c>
      <c r="B6" s="52">
        <f>SUM(B7,B10:B22)</f>
        <v>75700</v>
      </c>
      <c r="C6" s="52">
        <f>SUM(C7,C10:C22)</f>
        <v>88500</v>
      </c>
      <c r="D6" s="52">
        <f>SUM(D7,D10:D22)</f>
        <v>90173</v>
      </c>
      <c r="E6" s="18">
        <f t="shared" si="0"/>
        <v>1.01890395480226</v>
      </c>
      <c r="F6" s="1" t="s">
        <v>16</v>
      </c>
      <c r="G6" s="22">
        <v>29610</v>
      </c>
      <c r="H6" s="22">
        <v>29143</v>
      </c>
      <c r="I6" s="22">
        <v>28985</v>
      </c>
      <c r="J6" s="60">
        <f t="shared" si="1"/>
        <v>0.994578457948736</v>
      </c>
      <c r="K6" s="42" t="s">
        <v>217</v>
      </c>
      <c r="L6" s="22"/>
      <c r="M6" s="22">
        <v>111</v>
      </c>
      <c r="N6" s="51">
        <v>111</v>
      </c>
      <c r="O6" s="5">
        <f t="shared" si="2"/>
        <v>1</v>
      </c>
    </row>
    <row r="7" ht="16.5" customHeight="1" spans="1:15">
      <c r="A7" s="1" t="s">
        <v>18</v>
      </c>
      <c r="B7" s="51">
        <f>SUM(B8:B9)</f>
        <v>35450</v>
      </c>
      <c r="C7" s="51">
        <f>SUM(C8:C9)</f>
        <v>41200</v>
      </c>
      <c r="D7" s="51">
        <f>SUM(D8:D9)</f>
        <v>43931</v>
      </c>
      <c r="E7" s="5">
        <f t="shared" si="0"/>
        <v>1.06628640776699</v>
      </c>
      <c r="F7" s="1" t="s">
        <v>19</v>
      </c>
      <c r="G7" s="22">
        <v>264</v>
      </c>
      <c r="H7" s="22">
        <v>377</v>
      </c>
      <c r="I7" s="22">
        <v>377</v>
      </c>
      <c r="J7" s="60">
        <f t="shared" si="1"/>
        <v>1</v>
      </c>
      <c r="K7" s="42" t="s">
        <v>218</v>
      </c>
      <c r="L7" s="22">
        <v>85000</v>
      </c>
      <c r="M7" s="22">
        <v>87500</v>
      </c>
      <c r="N7" s="51">
        <v>86225</v>
      </c>
      <c r="O7" s="5">
        <f t="shared" si="2"/>
        <v>0.985428571428571</v>
      </c>
    </row>
    <row r="8" ht="16.5" customHeight="1" spans="1:15">
      <c r="A8" s="1" t="s">
        <v>136</v>
      </c>
      <c r="B8" s="51">
        <v>25530</v>
      </c>
      <c r="C8" s="51">
        <v>26140</v>
      </c>
      <c r="D8" s="51">
        <v>28617</v>
      </c>
      <c r="E8" s="5">
        <f t="shared" si="0"/>
        <v>1.09475899005356</v>
      </c>
      <c r="F8" s="1" t="s">
        <v>22</v>
      </c>
      <c r="G8" s="51">
        <v>9874</v>
      </c>
      <c r="H8" s="22">
        <v>14370</v>
      </c>
      <c r="I8" s="22">
        <v>14361</v>
      </c>
      <c r="J8" s="60">
        <f t="shared" si="1"/>
        <v>0.99937369519833</v>
      </c>
      <c r="K8" s="42" t="s">
        <v>219</v>
      </c>
      <c r="L8" s="22">
        <v>1200</v>
      </c>
      <c r="M8" s="22">
        <v>1885</v>
      </c>
      <c r="N8" s="51">
        <v>1918</v>
      </c>
      <c r="O8" s="5">
        <f t="shared" si="2"/>
        <v>1.01750663129973</v>
      </c>
    </row>
    <row r="9" ht="16.5" customHeight="1" spans="1:15">
      <c r="A9" s="1" t="s">
        <v>138</v>
      </c>
      <c r="B9" s="51">
        <v>9920</v>
      </c>
      <c r="C9" s="51">
        <v>15060</v>
      </c>
      <c r="D9" s="51">
        <v>15314</v>
      </c>
      <c r="E9" s="5">
        <f t="shared" si="0"/>
        <v>1.01686586985392</v>
      </c>
      <c r="F9" s="1" t="s">
        <v>25</v>
      </c>
      <c r="G9" s="51">
        <v>67522</v>
      </c>
      <c r="H9" s="22">
        <v>86240</v>
      </c>
      <c r="I9" s="22">
        <v>85838</v>
      </c>
      <c r="J9" s="60">
        <f t="shared" si="1"/>
        <v>0.995338589981447</v>
      </c>
      <c r="K9" s="42" t="s">
        <v>26</v>
      </c>
      <c r="L9" s="22">
        <v>570</v>
      </c>
      <c r="M9" s="22">
        <v>654</v>
      </c>
      <c r="N9" s="51">
        <v>655</v>
      </c>
      <c r="O9" s="5">
        <f t="shared" si="2"/>
        <v>1.00152905198777</v>
      </c>
    </row>
    <row r="10" ht="16.5" customHeight="1" spans="1:15">
      <c r="A10" s="1" t="s">
        <v>27</v>
      </c>
      <c r="B10" s="99"/>
      <c r="C10" s="51">
        <v>30</v>
      </c>
      <c r="D10" s="51">
        <v>40</v>
      </c>
      <c r="E10" s="5">
        <f t="shared" si="0"/>
        <v>1.33333333333333</v>
      </c>
      <c r="F10" s="1" t="s">
        <v>28</v>
      </c>
      <c r="G10" s="51">
        <v>2552</v>
      </c>
      <c r="H10" s="51">
        <v>3339</v>
      </c>
      <c r="I10" s="22">
        <v>3225</v>
      </c>
      <c r="J10" s="60">
        <f t="shared" si="1"/>
        <v>0.965858041329739</v>
      </c>
      <c r="K10" s="42" t="s">
        <v>220</v>
      </c>
      <c r="L10" s="22">
        <v>250</v>
      </c>
      <c r="M10" s="22">
        <v>250</v>
      </c>
      <c r="N10" s="51">
        <v>246</v>
      </c>
      <c r="O10" s="5">
        <f t="shared" si="2"/>
        <v>0.984</v>
      </c>
    </row>
    <row r="11" ht="16.5" customHeight="1" spans="1:15">
      <c r="A11" s="1" t="s">
        <v>30</v>
      </c>
      <c r="B11" s="99">
        <v>15250</v>
      </c>
      <c r="C11" s="51">
        <v>17350</v>
      </c>
      <c r="D11" s="51">
        <v>16748</v>
      </c>
      <c r="E11" s="5">
        <f t="shared" si="0"/>
        <v>0.965302593659942</v>
      </c>
      <c r="F11" s="1" t="s">
        <v>208</v>
      </c>
      <c r="G11" s="51">
        <v>2014</v>
      </c>
      <c r="H11" s="51">
        <v>3317</v>
      </c>
      <c r="I11" s="22">
        <v>3277</v>
      </c>
      <c r="J11" s="60">
        <f t="shared" si="1"/>
        <v>0.98794091046126</v>
      </c>
      <c r="K11" s="42" t="s">
        <v>221</v>
      </c>
      <c r="L11" s="22">
        <v>400</v>
      </c>
      <c r="M11" s="22">
        <v>400</v>
      </c>
      <c r="N11" s="51">
        <v>356</v>
      </c>
      <c r="O11" s="5">
        <f t="shared" si="2"/>
        <v>0.89</v>
      </c>
    </row>
    <row r="12" ht="16.5" customHeight="1" spans="1:15">
      <c r="A12" s="1" t="s">
        <v>33</v>
      </c>
      <c r="B12" s="99">
        <v>2033</v>
      </c>
      <c r="C12" s="51">
        <v>2580</v>
      </c>
      <c r="D12" s="51">
        <v>2780</v>
      </c>
      <c r="E12" s="5">
        <f t="shared" si="0"/>
        <v>1.07751937984496</v>
      </c>
      <c r="F12" s="1" t="s">
        <v>34</v>
      </c>
      <c r="G12" s="51">
        <v>29965</v>
      </c>
      <c r="H12" s="51">
        <v>38369</v>
      </c>
      <c r="I12" s="22">
        <v>38199</v>
      </c>
      <c r="J12" s="60">
        <f t="shared" si="1"/>
        <v>0.995569339831635</v>
      </c>
      <c r="K12" s="21" t="s">
        <v>32</v>
      </c>
      <c r="L12" s="22"/>
      <c r="M12" s="22"/>
      <c r="N12" s="19">
        <v>3593</v>
      </c>
      <c r="O12" s="4"/>
    </row>
    <row r="13" ht="16.5" customHeight="1" spans="1:15">
      <c r="A13" s="1" t="s">
        <v>36</v>
      </c>
      <c r="B13" s="68">
        <v>2600</v>
      </c>
      <c r="C13" s="68">
        <v>2300</v>
      </c>
      <c r="D13" s="51">
        <v>2273</v>
      </c>
      <c r="E13" s="5">
        <f t="shared" si="0"/>
        <v>0.988260869565217</v>
      </c>
      <c r="F13" s="1" t="s">
        <v>209</v>
      </c>
      <c r="G13" s="51">
        <v>25037</v>
      </c>
      <c r="H13" s="51">
        <v>27985</v>
      </c>
      <c r="I13" s="22">
        <v>27830</v>
      </c>
      <c r="J13" s="61">
        <f t="shared" si="1"/>
        <v>0.994461318563516</v>
      </c>
      <c r="K13" s="21" t="s">
        <v>143</v>
      </c>
      <c r="L13" s="19"/>
      <c r="M13" s="19">
        <v>13965</v>
      </c>
      <c r="N13" s="19">
        <v>14427</v>
      </c>
      <c r="O13" s="45"/>
    </row>
    <row r="14" ht="16.5" customHeight="1" spans="1:15">
      <c r="A14" s="1" t="s">
        <v>39</v>
      </c>
      <c r="B14" s="68">
        <v>3300</v>
      </c>
      <c r="C14" s="68">
        <v>3800</v>
      </c>
      <c r="D14" s="51">
        <v>3904</v>
      </c>
      <c r="E14" s="5">
        <f t="shared" si="0"/>
        <v>1.02736842105263</v>
      </c>
      <c r="F14" s="1" t="s">
        <v>40</v>
      </c>
      <c r="G14" s="51">
        <v>694</v>
      </c>
      <c r="H14" s="51">
        <v>12529</v>
      </c>
      <c r="I14" s="22">
        <v>12490</v>
      </c>
      <c r="J14" s="60">
        <f t="shared" si="1"/>
        <v>0.996887221645782</v>
      </c>
      <c r="K14" s="21" t="s">
        <v>38</v>
      </c>
      <c r="L14" s="19"/>
      <c r="M14" s="19">
        <v>5000</v>
      </c>
      <c r="N14" s="19">
        <v>5000</v>
      </c>
      <c r="O14" s="45"/>
    </row>
    <row r="15" ht="16.5" customHeight="1" spans="1:15">
      <c r="A15" s="1" t="s">
        <v>42</v>
      </c>
      <c r="B15" s="68">
        <v>2100</v>
      </c>
      <c r="C15" s="68">
        <v>2400</v>
      </c>
      <c r="D15" s="51">
        <v>2495</v>
      </c>
      <c r="E15" s="5">
        <f t="shared" si="0"/>
        <v>1.03958333333333</v>
      </c>
      <c r="F15" s="1" t="s">
        <v>43</v>
      </c>
      <c r="G15" s="51">
        <v>3006</v>
      </c>
      <c r="H15" s="51">
        <v>12063</v>
      </c>
      <c r="I15" s="22">
        <v>12013</v>
      </c>
      <c r="J15" s="60">
        <f t="shared" si="1"/>
        <v>0.995855094089364</v>
      </c>
      <c r="K15" s="46" t="s">
        <v>41</v>
      </c>
      <c r="L15" s="19">
        <f>SUM(L13,L12,L5)</f>
        <v>87420</v>
      </c>
      <c r="M15" s="19">
        <f>SUM(M13,M12,M5,M14)</f>
        <v>109765</v>
      </c>
      <c r="N15" s="19">
        <f>SUM(N13,N12,N5,N14)</f>
        <v>112531</v>
      </c>
      <c r="O15" s="4"/>
    </row>
    <row r="16" ht="16.5" customHeight="1" spans="1:15">
      <c r="A16" s="1" t="s">
        <v>45</v>
      </c>
      <c r="B16" s="68">
        <v>1100</v>
      </c>
      <c r="C16" s="68">
        <v>1600</v>
      </c>
      <c r="D16" s="51">
        <v>1567</v>
      </c>
      <c r="E16" s="5">
        <f t="shared" si="0"/>
        <v>0.979375</v>
      </c>
      <c r="F16" s="1" t="s">
        <v>46</v>
      </c>
      <c r="G16" s="51">
        <v>12495</v>
      </c>
      <c r="H16" s="51">
        <v>52674</v>
      </c>
      <c r="I16" s="22">
        <v>52197</v>
      </c>
      <c r="J16" s="60">
        <f t="shared" si="1"/>
        <v>0.990944298895091</v>
      </c>
      <c r="K16" s="90" t="s">
        <v>44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2700</v>
      </c>
      <c r="C17" s="68">
        <v>2900</v>
      </c>
      <c r="D17" s="51">
        <v>2960</v>
      </c>
      <c r="E17" s="5">
        <f t="shared" si="0"/>
        <v>1.02068965517241</v>
      </c>
      <c r="F17" s="1" t="s">
        <v>48</v>
      </c>
      <c r="G17" s="51">
        <v>2552</v>
      </c>
      <c r="H17" s="22">
        <v>16369</v>
      </c>
      <c r="I17" s="22">
        <v>16349</v>
      </c>
      <c r="J17" s="60">
        <f t="shared" si="1"/>
        <v>0.998778178263791</v>
      </c>
      <c r="K17" s="15" t="s">
        <v>6</v>
      </c>
      <c r="L17" s="15" t="s">
        <v>129</v>
      </c>
      <c r="M17" s="15" t="s">
        <v>130</v>
      </c>
      <c r="N17" s="15" t="s">
        <v>131</v>
      </c>
      <c r="O17" s="15" t="s">
        <v>132</v>
      </c>
    </row>
    <row r="18" ht="16.5" customHeight="1" spans="1:15">
      <c r="A18" s="1" t="s">
        <v>50</v>
      </c>
      <c r="B18" s="68">
        <v>5750</v>
      </c>
      <c r="C18" s="68">
        <v>8400</v>
      </c>
      <c r="D18" s="51">
        <v>6979</v>
      </c>
      <c r="E18" s="5">
        <f t="shared" si="0"/>
        <v>0.830833333333333</v>
      </c>
      <c r="F18" s="1" t="s">
        <v>51</v>
      </c>
      <c r="G18" s="51">
        <v>5751</v>
      </c>
      <c r="H18" s="22">
        <v>14095</v>
      </c>
      <c r="I18" s="22">
        <v>13849</v>
      </c>
      <c r="J18" s="60">
        <f t="shared" si="1"/>
        <v>0.98254700248315</v>
      </c>
      <c r="K18" s="16" t="s">
        <v>144</v>
      </c>
      <c r="L18" s="52">
        <f>SUM(L19:L29)</f>
        <v>58420</v>
      </c>
      <c r="M18" s="52">
        <f>SUM(M19:M29)</f>
        <v>71031</v>
      </c>
      <c r="N18" s="52">
        <f>SUM(N19:N29)</f>
        <v>69882</v>
      </c>
      <c r="O18" s="18">
        <f t="shared" ref="O18:O30" si="3">N18/M18</f>
        <v>0.983823964184652</v>
      </c>
    </row>
    <row r="19" ht="16.5" customHeight="1" spans="1:15">
      <c r="A19" s="1" t="s">
        <v>53</v>
      </c>
      <c r="B19" s="68">
        <v>1567</v>
      </c>
      <c r="C19" s="68">
        <v>1450</v>
      </c>
      <c r="D19" s="51">
        <v>1466</v>
      </c>
      <c r="E19" s="5">
        <f t="shared" si="0"/>
        <v>1.01103448275862</v>
      </c>
      <c r="F19" s="1" t="s">
        <v>54</v>
      </c>
      <c r="G19" s="51">
        <v>505</v>
      </c>
      <c r="H19" s="22">
        <v>1941</v>
      </c>
      <c r="I19" s="22">
        <v>1931</v>
      </c>
      <c r="J19" s="60">
        <f t="shared" si="1"/>
        <v>0.994848016486347</v>
      </c>
      <c r="K19" s="42" t="s">
        <v>52</v>
      </c>
      <c r="L19" s="22"/>
      <c r="M19" s="22">
        <v>804</v>
      </c>
      <c r="N19" s="51">
        <v>805</v>
      </c>
      <c r="O19" s="5">
        <f t="shared" si="3"/>
        <v>1.00124378109453</v>
      </c>
    </row>
    <row r="20" ht="16.5" customHeight="1" spans="1:15">
      <c r="A20" s="1" t="s">
        <v>56</v>
      </c>
      <c r="B20" s="68">
        <v>150</v>
      </c>
      <c r="C20" s="68">
        <v>150</v>
      </c>
      <c r="D20" s="51">
        <v>140</v>
      </c>
      <c r="E20" s="5">
        <f t="shared" si="0"/>
        <v>0.933333333333333</v>
      </c>
      <c r="F20" s="1" t="s">
        <v>57</v>
      </c>
      <c r="G20" s="51"/>
      <c r="H20" s="22">
        <v>37</v>
      </c>
      <c r="I20" s="22">
        <v>37</v>
      </c>
      <c r="J20" s="60">
        <f t="shared" si="1"/>
        <v>1</v>
      </c>
      <c r="K20" s="81" t="s">
        <v>55</v>
      </c>
      <c r="L20" s="22">
        <v>56000</v>
      </c>
      <c r="M20" s="22">
        <v>63604</v>
      </c>
      <c r="N20" s="51">
        <v>63327</v>
      </c>
      <c r="O20" s="5">
        <f t="shared" si="3"/>
        <v>0.99564492799195</v>
      </c>
    </row>
    <row r="21" ht="16.5" customHeight="1" spans="1:15">
      <c r="A21" s="1" t="s">
        <v>59</v>
      </c>
      <c r="B21" s="51">
        <v>700</v>
      </c>
      <c r="C21" s="51">
        <v>840</v>
      </c>
      <c r="D21" s="51">
        <v>773</v>
      </c>
      <c r="E21" s="5">
        <f t="shared" si="0"/>
        <v>0.920238095238095</v>
      </c>
      <c r="F21" s="1" t="s">
        <v>210</v>
      </c>
      <c r="G21" s="51">
        <v>1580</v>
      </c>
      <c r="H21" s="22">
        <v>1680</v>
      </c>
      <c r="I21" s="22">
        <v>1680</v>
      </c>
      <c r="J21" s="60">
        <f t="shared" si="1"/>
        <v>1</v>
      </c>
      <c r="K21" s="42" t="s">
        <v>222</v>
      </c>
      <c r="L21" s="22"/>
      <c r="M21" s="22">
        <v>4</v>
      </c>
      <c r="N21" s="51">
        <v>4</v>
      </c>
      <c r="O21" s="5">
        <f t="shared" si="3"/>
        <v>1</v>
      </c>
    </row>
    <row r="22" ht="16.5" customHeight="1" spans="1:15">
      <c r="A22" s="1" t="s">
        <v>62</v>
      </c>
      <c r="B22" s="51">
        <v>3000</v>
      </c>
      <c r="C22" s="51">
        <v>3500</v>
      </c>
      <c r="D22" s="51">
        <v>4117</v>
      </c>
      <c r="E22" s="5">
        <f t="shared" si="0"/>
        <v>1.17628571428571</v>
      </c>
      <c r="F22" s="1" t="s">
        <v>63</v>
      </c>
      <c r="G22" s="51">
        <v>1065</v>
      </c>
      <c r="H22" s="22">
        <v>2342</v>
      </c>
      <c r="I22" s="22">
        <v>2342</v>
      </c>
      <c r="J22" s="60">
        <f t="shared" si="1"/>
        <v>1</v>
      </c>
      <c r="K22" s="42" t="s">
        <v>61</v>
      </c>
      <c r="L22" s="22">
        <v>1200</v>
      </c>
      <c r="M22" s="22">
        <v>2151</v>
      </c>
      <c r="N22" s="51">
        <v>1576</v>
      </c>
      <c r="O22" s="5">
        <f t="shared" si="3"/>
        <v>0.732682473268247</v>
      </c>
    </row>
    <row r="23" ht="16.5" customHeight="1" spans="1:15">
      <c r="A23" s="21" t="s">
        <v>68</v>
      </c>
      <c r="B23" s="52">
        <f>SUM(B24,B26:B31)</f>
        <v>37300</v>
      </c>
      <c r="C23" s="52">
        <f>SUM(C24,C26:C31)</f>
        <v>30300</v>
      </c>
      <c r="D23" s="52">
        <f>SUM(D24,D26:D31)</f>
        <v>32497</v>
      </c>
      <c r="E23" s="18">
        <f t="shared" si="0"/>
        <v>1.07250825082508</v>
      </c>
      <c r="F23" s="1" t="s">
        <v>66</v>
      </c>
      <c r="G23" s="51">
        <v>2349</v>
      </c>
      <c r="H23" s="22">
        <v>957</v>
      </c>
      <c r="I23" s="22">
        <v>957</v>
      </c>
      <c r="J23" s="60">
        <f t="shared" si="1"/>
        <v>1</v>
      </c>
      <c r="K23" s="42" t="s">
        <v>64</v>
      </c>
      <c r="L23" s="22">
        <v>570</v>
      </c>
      <c r="M23" s="22">
        <v>689</v>
      </c>
      <c r="N23" s="51">
        <v>590</v>
      </c>
      <c r="O23" s="5">
        <f t="shared" si="3"/>
        <v>0.856313497822932</v>
      </c>
    </row>
    <row r="24" ht="16.5" customHeight="1" spans="1:15">
      <c r="A24" s="1" t="s">
        <v>71</v>
      </c>
      <c r="B24" s="51">
        <v>4000</v>
      </c>
      <c r="C24" s="51">
        <v>10100</v>
      </c>
      <c r="D24" s="51">
        <v>9665</v>
      </c>
      <c r="E24" s="5">
        <f t="shared" si="0"/>
        <v>0.956930693069307</v>
      </c>
      <c r="F24" s="1" t="s">
        <v>212</v>
      </c>
      <c r="G24" s="51">
        <v>14329</v>
      </c>
      <c r="H24" s="22">
        <v>13767</v>
      </c>
      <c r="I24" s="22">
        <v>13767</v>
      </c>
      <c r="J24" s="60">
        <f t="shared" si="1"/>
        <v>1</v>
      </c>
      <c r="K24" s="42" t="s">
        <v>183</v>
      </c>
      <c r="L24" s="22"/>
      <c r="M24" s="22">
        <v>112</v>
      </c>
      <c r="N24" s="51">
        <v>112</v>
      </c>
      <c r="O24" s="5">
        <f t="shared" si="3"/>
        <v>1</v>
      </c>
    </row>
    <row r="25" ht="16.5" customHeight="1" spans="1:15">
      <c r="A25" s="1" t="s">
        <v>151</v>
      </c>
      <c r="B25" s="51">
        <v>2100</v>
      </c>
      <c r="C25" s="51">
        <v>2800</v>
      </c>
      <c r="D25" s="51">
        <v>2934</v>
      </c>
      <c r="E25" s="5">
        <f t="shared" si="0"/>
        <v>1.04785714285714</v>
      </c>
      <c r="F25" s="1" t="s">
        <v>213</v>
      </c>
      <c r="G25" s="51">
        <v>2000</v>
      </c>
      <c r="H25" s="22">
        <v>250</v>
      </c>
      <c r="I25" s="22">
        <v>250</v>
      </c>
      <c r="J25" s="80">
        <f t="shared" si="1"/>
        <v>1</v>
      </c>
      <c r="K25" s="81" t="s">
        <v>70</v>
      </c>
      <c r="L25" s="22"/>
      <c r="M25" s="22">
        <v>1215</v>
      </c>
      <c r="N25" s="51">
        <v>1215</v>
      </c>
      <c r="O25" s="5">
        <f t="shared" si="3"/>
        <v>1</v>
      </c>
    </row>
    <row r="26" ht="16.5" customHeight="1" spans="1:15">
      <c r="A26" s="1" t="s">
        <v>77</v>
      </c>
      <c r="B26" s="4">
        <v>6500</v>
      </c>
      <c r="C26" s="51">
        <v>3500</v>
      </c>
      <c r="D26" s="51">
        <v>3427</v>
      </c>
      <c r="E26" s="5">
        <f t="shared" si="0"/>
        <v>0.979142857142857</v>
      </c>
      <c r="F26" s="26" t="s">
        <v>78</v>
      </c>
      <c r="G26" s="69">
        <f>SUM(G27:G28)</f>
        <v>4400</v>
      </c>
      <c r="H26" s="69">
        <f>SUM(H27:H28)</f>
        <v>8700</v>
      </c>
      <c r="I26" s="69">
        <f>SUM(I27:I28)</f>
        <v>6419</v>
      </c>
      <c r="J26" s="5"/>
      <c r="K26" s="42" t="s">
        <v>73</v>
      </c>
      <c r="L26" s="22">
        <v>650</v>
      </c>
      <c r="M26" s="22">
        <v>1784</v>
      </c>
      <c r="N26" s="51">
        <v>1585</v>
      </c>
      <c r="O26" s="5">
        <f t="shared" si="3"/>
        <v>0.888452914798206</v>
      </c>
    </row>
    <row r="27" ht="16.5" customHeight="1" spans="1:15">
      <c r="A27" s="1" t="s">
        <v>80</v>
      </c>
      <c r="B27" s="4">
        <v>2500</v>
      </c>
      <c r="C27" s="51">
        <v>4800</v>
      </c>
      <c r="D27" s="51">
        <v>4483</v>
      </c>
      <c r="E27" s="5">
        <f t="shared" si="0"/>
        <v>0.933958333333333</v>
      </c>
      <c r="F27" s="1" t="s">
        <v>81</v>
      </c>
      <c r="G27" s="51">
        <v>3100</v>
      </c>
      <c r="H27" s="22">
        <v>3100</v>
      </c>
      <c r="I27" s="22">
        <v>2647</v>
      </c>
      <c r="J27" s="5"/>
      <c r="K27" s="42" t="s">
        <v>223</v>
      </c>
      <c r="L27" s="22"/>
      <c r="M27" s="22">
        <v>111</v>
      </c>
      <c r="N27" s="51">
        <v>111</v>
      </c>
      <c r="O27" s="5">
        <f t="shared" si="3"/>
        <v>1</v>
      </c>
    </row>
    <row r="28" ht="16.5" customHeight="1" spans="1:15">
      <c r="A28" s="1" t="s">
        <v>155</v>
      </c>
      <c r="B28" s="4">
        <v>6000</v>
      </c>
      <c r="C28" s="51">
        <v>200</v>
      </c>
      <c r="D28" s="51">
        <v>184</v>
      </c>
      <c r="E28" s="5">
        <f t="shared" si="0"/>
        <v>0.92</v>
      </c>
      <c r="F28" s="1" t="s">
        <v>84</v>
      </c>
      <c r="G28" s="71">
        <v>1300</v>
      </c>
      <c r="H28" s="22">
        <v>5600</v>
      </c>
      <c r="I28" s="22">
        <v>3772</v>
      </c>
      <c r="J28" s="5"/>
      <c r="K28" s="42" t="s">
        <v>173</v>
      </c>
      <c r="L28" s="22"/>
      <c r="M28" s="22">
        <v>551</v>
      </c>
      <c r="N28" s="51">
        <v>551</v>
      </c>
      <c r="O28" s="5">
        <f t="shared" ref="O28" si="4">N28/M28</f>
        <v>1</v>
      </c>
    </row>
    <row r="29" ht="16.5" customHeight="1" spans="1:15">
      <c r="A29" s="1" t="s">
        <v>86</v>
      </c>
      <c r="B29" s="4">
        <v>800</v>
      </c>
      <c r="C29" s="51">
        <v>800</v>
      </c>
      <c r="D29" s="51">
        <v>1216</v>
      </c>
      <c r="E29" s="5">
        <f t="shared" si="0"/>
        <v>1.52</v>
      </c>
      <c r="F29" s="26" t="s">
        <v>87</v>
      </c>
      <c r="G29" s="72"/>
      <c r="H29" s="22"/>
      <c r="I29" s="19">
        <v>49705</v>
      </c>
      <c r="J29" s="5"/>
      <c r="K29" s="42" t="s">
        <v>174</v>
      </c>
      <c r="L29" s="22"/>
      <c r="M29" s="22">
        <v>6</v>
      </c>
      <c r="N29" s="51">
        <v>6</v>
      </c>
      <c r="O29" s="5">
        <f t="shared" si="3"/>
        <v>1</v>
      </c>
    </row>
    <row r="30" ht="16.5" customHeight="1" spans="1:15">
      <c r="A30" s="1" t="s">
        <v>89</v>
      </c>
      <c r="B30" s="4">
        <v>40</v>
      </c>
      <c r="C30" s="51">
        <v>55</v>
      </c>
      <c r="D30" s="51">
        <v>45</v>
      </c>
      <c r="E30" s="5">
        <f t="shared" si="0"/>
        <v>0.818181818181818</v>
      </c>
      <c r="F30" s="26" t="s">
        <v>90</v>
      </c>
      <c r="G30" s="72"/>
      <c r="H30" s="22"/>
      <c r="I30" s="19">
        <v>10370</v>
      </c>
      <c r="J30" s="5"/>
      <c r="K30" s="16" t="s">
        <v>82</v>
      </c>
      <c r="L30" s="22">
        <v>29000</v>
      </c>
      <c r="M30" s="19">
        <v>40953</v>
      </c>
      <c r="N30" s="41">
        <v>41478</v>
      </c>
      <c r="O30" s="5">
        <f t="shared" si="3"/>
        <v>1.01281957365761</v>
      </c>
    </row>
    <row r="31" ht="16.5" customHeight="1" spans="1:15">
      <c r="A31" s="1" t="s">
        <v>158</v>
      </c>
      <c r="B31" s="4">
        <v>17460</v>
      </c>
      <c r="C31" s="51">
        <v>10845</v>
      </c>
      <c r="D31" s="51">
        <v>13477</v>
      </c>
      <c r="E31" s="5">
        <f t="shared" si="0"/>
        <v>1.24269248501614</v>
      </c>
      <c r="F31" s="26" t="s">
        <v>93</v>
      </c>
      <c r="G31" s="72"/>
      <c r="H31" s="22"/>
      <c r="I31" s="19">
        <v>400</v>
      </c>
      <c r="J31" s="5"/>
      <c r="K31" s="16" t="s">
        <v>85</v>
      </c>
      <c r="L31" s="22"/>
      <c r="M31" s="19"/>
      <c r="N31" s="41">
        <v>22</v>
      </c>
      <c r="O31" s="5"/>
    </row>
    <row r="32" ht="16.5" customHeight="1" spans="1:15">
      <c r="A32" s="28" t="s">
        <v>94</v>
      </c>
      <c r="B32" s="52">
        <f>SUM(B33:B35)</f>
        <v>75564</v>
      </c>
      <c r="C32" s="52">
        <f>SUM(C33:C35)</f>
        <v>64464</v>
      </c>
      <c r="D32" s="52">
        <f>SUM(D33:D35)</f>
        <v>138666</v>
      </c>
      <c r="E32" s="18"/>
      <c r="F32" s="21" t="s">
        <v>199</v>
      </c>
      <c r="G32" s="52"/>
      <c r="H32" s="22"/>
      <c r="I32" s="19">
        <v>1890</v>
      </c>
      <c r="J32" s="5"/>
      <c r="K32" s="21" t="s">
        <v>88</v>
      </c>
      <c r="L32" s="22"/>
      <c r="M32" s="22"/>
      <c r="N32" s="52">
        <v>1149</v>
      </c>
      <c r="O32" s="4"/>
    </row>
    <row r="33" ht="16.5" customHeight="1" spans="1:15">
      <c r="A33" s="29" t="s">
        <v>96</v>
      </c>
      <c r="B33" s="51">
        <v>7577</v>
      </c>
      <c r="C33" s="51">
        <v>10690</v>
      </c>
      <c r="D33" s="51">
        <v>10690</v>
      </c>
      <c r="E33" s="5"/>
      <c r="F33" s="1" t="s">
        <v>100</v>
      </c>
      <c r="G33" s="51"/>
      <c r="H33" s="22"/>
      <c r="I33" s="22">
        <v>1890</v>
      </c>
      <c r="J33" s="5"/>
      <c r="K33" s="21" t="s">
        <v>91</v>
      </c>
      <c r="L33" s="19">
        <f>SUM(L18,L30:L32)</f>
        <v>87420</v>
      </c>
      <c r="M33" s="22"/>
      <c r="N33" s="19">
        <f>SUM(N18,N30:N32)</f>
        <v>112531</v>
      </c>
      <c r="O33" s="4"/>
    </row>
    <row r="34" ht="16.5" customHeight="1" spans="1:15">
      <c r="A34" s="29" t="s">
        <v>99</v>
      </c>
      <c r="B34" s="51">
        <v>53723</v>
      </c>
      <c r="C34" s="51">
        <v>39510</v>
      </c>
      <c r="D34" s="51">
        <v>70091</v>
      </c>
      <c r="E34" s="5"/>
      <c r="F34" s="21" t="s">
        <v>103</v>
      </c>
      <c r="G34" s="52">
        <f>SUM(G5,G26,G29:G32)</f>
        <v>217564</v>
      </c>
      <c r="H34" s="52">
        <f>SUM(H5,H26,H29:H32)</f>
        <v>340544</v>
      </c>
      <c r="I34" s="52">
        <f>SUM(I5,I26,I29:I32)</f>
        <v>398738</v>
      </c>
      <c r="J34" s="4"/>
      <c r="K34" s="93" t="s">
        <v>98</v>
      </c>
      <c r="L34" s="94"/>
      <c r="M34" s="94"/>
      <c r="N34" s="94"/>
      <c r="O34" s="95"/>
    </row>
    <row r="35" ht="16.5" customHeight="1" spans="1:15">
      <c r="A35" s="29" t="s">
        <v>160</v>
      </c>
      <c r="B35" s="51">
        <v>14264</v>
      </c>
      <c r="C35" s="51">
        <v>14264</v>
      </c>
      <c r="D35" s="51">
        <v>57885</v>
      </c>
      <c r="E35" s="5"/>
      <c r="F35" s="30" t="s">
        <v>106</v>
      </c>
      <c r="G35" s="31"/>
      <c r="H35" s="31"/>
      <c r="I35" s="31"/>
      <c r="J35" s="48"/>
      <c r="K35" s="15" t="s">
        <v>6</v>
      </c>
      <c r="L35" s="15" t="s">
        <v>129</v>
      </c>
      <c r="M35" s="15" t="s">
        <v>130</v>
      </c>
      <c r="N35" s="15" t="s">
        <v>131</v>
      </c>
      <c r="O35" s="15" t="s">
        <v>132</v>
      </c>
    </row>
    <row r="36" ht="16.5" customHeight="1" spans="1:15">
      <c r="A36" s="33" t="s">
        <v>105</v>
      </c>
      <c r="B36" s="72"/>
      <c r="C36" s="52">
        <v>4950</v>
      </c>
      <c r="D36" s="52">
        <v>16495</v>
      </c>
      <c r="E36" s="45"/>
      <c r="F36" s="15" t="s">
        <v>6</v>
      </c>
      <c r="G36" s="4" t="s">
        <v>129</v>
      </c>
      <c r="H36" s="4" t="s">
        <v>130</v>
      </c>
      <c r="I36" s="4" t="s">
        <v>131</v>
      </c>
      <c r="J36" s="4" t="s">
        <v>132</v>
      </c>
      <c r="K36" s="21" t="s">
        <v>104</v>
      </c>
      <c r="L36" s="45">
        <v>66</v>
      </c>
      <c r="M36" s="45">
        <v>66</v>
      </c>
      <c r="N36" s="45">
        <v>157</v>
      </c>
      <c r="O36" s="18">
        <f>N36/M36</f>
        <v>2.37878787878788</v>
      </c>
    </row>
    <row r="37" ht="16.5" customHeight="1" spans="1:15">
      <c r="A37" s="33" t="s">
        <v>108</v>
      </c>
      <c r="B37" s="85"/>
      <c r="C37" s="52">
        <v>11267</v>
      </c>
      <c r="D37" s="52">
        <v>60972</v>
      </c>
      <c r="E37" s="1"/>
      <c r="F37" s="21" t="s">
        <v>12</v>
      </c>
      <c r="G37" s="85">
        <f>B5</f>
        <v>113000</v>
      </c>
      <c r="H37" s="85">
        <f>C5</f>
        <v>118800</v>
      </c>
      <c r="I37" s="85">
        <f>D5</f>
        <v>122670</v>
      </c>
      <c r="J37" s="18">
        <f t="shared" ref="J37:J45" si="5">I37/H37</f>
        <v>1.03257575757576</v>
      </c>
      <c r="K37" s="21" t="s">
        <v>109</v>
      </c>
      <c r="L37" s="45">
        <v>66</v>
      </c>
      <c r="M37" s="45">
        <v>66</v>
      </c>
      <c r="N37" s="45">
        <v>53</v>
      </c>
      <c r="O37" s="18">
        <f>N37/M37</f>
        <v>0.803030303030303</v>
      </c>
    </row>
    <row r="38" ht="16.5" customHeight="1" spans="1:15">
      <c r="A38" s="87" t="s">
        <v>110</v>
      </c>
      <c r="B38" s="52"/>
      <c r="C38" s="52">
        <v>10230</v>
      </c>
      <c r="D38" s="52">
        <v>10230</v>
      </c>
      <c r="E38" s="5"/>
      <c r="F38" s="34" t="s">
        <v>113</v>
      </c>
      <c r="G38" s="85">
        <f>SUM(G39:G44)</f>
        <v>61499.5</v>
      </c>
      <c r="H38" s="85">
        <f>SUM(H39:H44)</f>
        <v>71200</v>
      </c>
      <c r="I38" s="85">
        <f>SUM(I39:I44)</f>
        <v>79444</v>
      </c>
      <c r="J38" s="18">
        <f t="shared" si="5"/>
        <v>1.11578651685393</v>
      </c>
      <c r="K38" s="21" t="s">
        <v>114</v>
      </c>
      <c r="L38" s="45"/>
      <c r="M38" s="45"/>
      <c r="N38" s="45">
        <v>104</v>
      </c>
      <c r="O38" s="18"/>
    </row>
    <row r="39" ht="16.5" customHeight="1" spans="1:15">
      <c r="A39" s="33" t="s">
        <v>112</v>
      </c>
      <c r="B39" s="52">
        <v>29000</v>
      </c>
      <c r="C39" s="52">
        <v>45953</v>
      </c>
      <c r="D39" s="52">
        <v>49705</v>
      </c>
      <c r="E39" s="5"/>
      <c r="F39" s="35" t="s">
        <v>164</v>
      </c>
      <c r="G39" s="51">
        <f>B7</f>
        <v>35450</v>
      </c>
      <c r="H39" s="51">
        <f>C7</f>
        <v>41200</v>
      </c>
      <c r="I39" s="51">
        <f>D7</f>
        <v>43931</v>
      </c>
      <c r="J39" s="5">
        <f t="shared" si="5"/>
        <v>1.06628640776699</v>
      </c>
      <c r="K39" s="93" t="s">
        <v>116</v>
      </c>
      <c r="L39" s="94"/>
      <c r="M39" s="94"/>
      <c r="N39" s="94"/>
      <c r="O39" s="95"/>
    </row>
    <row r="40" ht="16.5" customHeight="1" spans="1:15">
      <c r="A40" s="33"/>
      <c r="B40" s="51"/>
      <c r="C40" s="52"/>
      <c r="D40" s="52"/>
      <c r="E40" s="5"/>
      <c r="F40" s="35" t="s">
        <v>117</v>
      </c>
      <c r="G40" s="51">
        <f t="shared" ref="G40:I41" si="6">B11*1.5</f>
        <v>22875</v>
      </c>
      <c r="H40" s="51">
        <f t="shared" si="6"/>
        <v>26025</v>
      </c>
      <c r="I40" s="51">
        <f t="shared" si="6"/>
        <v>25122</v>
      </c>
      <c r="J40" s="5">
        <f t="shared" si="5"/>
        <v>0.965302593659942</v>
      </c>
      <c r="K40" s="21" t="s">
        <v>119</v>
      </c>
      <c r="L40" s="45">
        <v>40801</v>
      </c>
      <c r="M40" s="66">
        <v>41709</v>
      </c>
      <c r="N40" s="21">
        <v>42768</v>
      </c>
      <c r="O40" s="18">
        <f>N40/M40</f>
        <v>1.02539020355319</v>
      </c>
    </row>
    <row r="41" ht="16.5" customHeight="1" spans="1:15">
      <c r="A41" s="33"/>
      <c r="B41" s="51"/>
      <c r="C41" s="52"/>
      <c r="D41" s="52"/>
      <c r="E41" s="5"/>
      <c r="F41" s="35" t="s">
        <v>118</v>
      </c>
      <c r="G41" s="51">
        <f t="shared" si="6"/>
        <v>3049.5</v>
      </c>
      <c r="H41" s="51">
        <f t="shared" si="6"/>
        <v>3870</v>
      </c>
      <c r="I41" s="51">
        <f t="shared" si="6"/>
        <v>4170</v>
      </c>
      <c r="J41" s="5">
        <f t="shared" si="5"/>
        <v>1.07751937984496</v>
      </c>
      <c r="K41" s="1" t="s">
        <v>166</v>
      </c>
      <c r="L41" s="104">
        <v>20253</v>
      </c>
      <c r="M41" s="67">
        <v>19880</v>
      </c>
      <c r="N41" s="1">
        <v>20441</v>
      </c>
      <c r="O41" s="18">
        <f t="shared" ref="O41:O43" si="7">N41/M41</f>
        <v>1.02821931589537</v>
      </c>
    </row>
    <row r="42" ht="16.5" customHeight="1" spans="1:15">
      <c r="A42" s="33"/>
      <c r="B42" s="51"/>
      <c r="C42" s="52"/>
      <c r="D42" s="52"/>
      <c r="E42" s="5"/>
      <c r="F42" s="35" t="s">
        <v>120</v>
      </c>
      <c r="G42" s="51">
        <v>125</v>
      </c>
      <c r="H42" s="51">
        <v>75</v>
      </c>
      <c r="I42" s="51">
        <v>74</v>
      </c>
      <c r="J42" s="5">
        <f t="shared" si="5"/>
        <v>0.986666666666667</v>
      </c>
      <c r="K42" s="1" t="s">
        <v>167</v>
      </c>
      <c r="L42" s="104">
        <v>20091</v>
      </c>
      <c r="M42" s="67">
        <v>21382</v>
      </c>
      <c r="N42" s="1">
        <v>21526</v>
      </c>
      <c r="O42" s="18">
        <f t="shared" si="7"/>
        <v>1.00673463661023</v>
      </c>
    </row>
    <row r="43" ht="17.25" customHeight="1" spans="1:15">
      <c r="A43" s="33"/>
      <c r="B43" s="51"/>
      <c r="C43" s="51"/>
      <c r="D43" s="52"/>
      <c r="E43" s="5"/>
      <c r="F43" s="102" t="s">
        <v>224</v>
      </c>
      <c r="G43" s="1"/>
      <c r="H43" s="4">
        <v>30</v>
      </c>
      <c r="I43" s="4">
        <v>40</v>
      </c>
      <c r="J43" s="5">
        <f t="shared" ref="J43" si="8">I43/H43</f>
        <v>1.33333333333333</v>
      </c>
      <c r="K43" s="21" t="s">
        <v>121</v>
      </c>
      <c r="L43" s="96">
        <v>36927</v>
      </c>
      <c r="M43" s="66">
        <v>38290</v>
      </c>
      <c r="N43" s="21">
        <v>37807</v>
      </c>
      <c r="O43" s="18">
        <f t="shared" si="7"/>
        <v>0.987385740402194</v>
      </c>
    </row>
    <row r="44" ht="21" customHeight="1" spans="1:15">
      <c r="A44" s="33"/>
      <c r="B44" s="51"/>
      <c r="C44" s="51"/>
      <c r="D44" s="52"/>
      <c r="E44" s="5"/>
      <c r="F44" s="102" t="s">
        <v>225</v>
      </c>
      <c r="G44" s="1"/>
      <c r="H44" s="4"/>
      <c r="I44" s="4">
        <v>6107</v>
      </c>
      <c r="J44" s="5"/>
      <c r="K44" s="21" t="s">
        <v>123</v>
      </c>
      <c r="L44" s="21">
        <f>L40-L43</f>
        <v>3874</v>
      </c>
      <c r="M44" s="21">
        <f>M40-M43</f>
        <v>3419</v>
      </c>
      <c r="N44" s="21">
        <f>N40-N43</f>
        <v>4961</v>
      </c>
      <c r="O44" s="18"/>
    </row>
    <row r="45" ht="15.95" customHeight="1" spans="1:15">
      <c r="A45" s="28" t="s">
        <v>124</v>
      </c>
      <c r="B45" s="52">
        <f>SUM(B5,B32,B36:B39)</f>
        <v>217564</v>
      </c>
      <c r="C45" s="52"/>
      <c r="D45" s="52">
        <f>SUM(D5,D32,D36:D39)</f>
        <v>398738</v>
      </c>
      <c r="E45" s="5"/>
      <c r="F45" s="36" t="s">
        <v>125</v>
      </c>
      <c r="G45" s="85">
        <f>SUM(G37:G38)</f>
        <v>174499.5</v>
      </c>
      <c r="H45" s="85">
        <f>SUM(H37:H38)</f>
        <v>190000</v>
      </c>
      <c r="I45" s="85">
        <f>SUM(I37:I38)</f>
        <v>202114</v>
      </c>
      <c r="J45" s="18">
        <f t="shared" si="5"/>
        <v>1.06375789473684</v>
      </c>
      <c r="K45" s="21" t="s">
        <v>126</v>
      </c>
      <c r="L45" s="1"/>
      <c r="M45" s="1"/>
      <c r="N45" s="21">
        <v>40644</v>
      </c>
      <c r="O45" s="4"/>
    </row>
    <row r="46" ht="15.95" customHeight="1"/>
  </sheetData>
  <mergeCells count="8">
    <mergeCell ref="A1:O1"/>
    <mergeCell ref="A3:E3"/>
    <mergeCell ref="F3:J3"/>
    <mergeCell ref="K3:O3"/>
    <mergeCell ref="K16:O16"/>
    <mergeCell ref="K34:O34"/>
    <mergeCell ref="F35:J35"/>
    <mergeCell ref="K39:O39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2022年增长</vt:lpstr>
      <vt:lpstr>2022年执行 </vt:lpstr>
      <vt:lpstr>2021年执行</vt:lpstr>
      <vt:lpstr>2020年增长</vt:lpstr>
      <vt:lpstr>2020年执行</vt:lpstr>
      <vt:lpstr>2019年增长</vt:lpstr>
      <vt:lpstr>2019年执行</vt:lpstr>
      <vt:lpstr>2018年增长</vt:lpstr>
      <vt:lpstr>2018年执行 </vt:lpstr>
      <vt:lpstr>2017年增长</vt:lpstr>
      <vt:lpstr>2017年执行</vt:lpstr>
      <vt:lpstr>2016年增长</vt:lpstr>
      <vt:lpstr>2016年执行</vt:lpstr>
      <vt:lpstr>2015年增长</vt:lpstr>
      <vt:lpstr>2015年执行</vt:lpstr>
      <vt:lpstr>2014年增长</vt:lpstr>
      <vt:lpstr>2014年执行</vt:lpstr>
      <vt:lpstr>2013年增长</vt:lpstr>
      <vt:lpstr>2013年执行</vt:lpstr>
      <vt:lpstr>2012年增长</vt:lpstr>
      <vt:lpstr>2012年执行</vt:lpstr>
      <vt:lpstr>2011年增长</vt:lpstr>
      <vt:lpstr>2011年执行</vt:lpstr>
      <vt:lpstr>2010年增长</vt:lpstr>
      <vt:lpstr>2010年执行</vt:lpstr>
      <vt:lpstr>09年执行</vt:lpstr>
      <vt:lpstr>09年增长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Billgates</dc:creator>
  <cp:lastModifiedBy>Administrator</cp:lastModifiedBy>
  <dcterms:created xsi:type="dcterms:W3CDTF">2006-03-23T08:16:00Z</dcterms:created>
  <cp:lastPrinted>2022-06-24T09:39:00Z</cp:lastPrinted>
  <dcterms:modified xsi:type="dcterms:W3CDTF">2025-08-04T09:38:16Z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347E414CCB8F43AB90AAD7A55E633729</vt:lpwstr>
  </property>
</Properties>
</file>